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Agosto\"/>
    </mc:Choice>
  </mc:AlternateContent>
  <xr:revisionPtr revIDLastSave="0" documentId="8_{C1DC06F4-633C-4D42-B707-FB5786639976}" xr6:coauthVersionLast="47" xr6:coauthVersionMax="47" xr10:uidLastSave="{00000000-0000-0000-0000-000000000000}"/>
  <bookViews>
    <workbookView xWindow="-120" yWindow="-120" windowWidth="29040" windowHeight="15720" activeTab="1" xr2:uid="{99DB84B3-533F-4A8D-B92D-6A706156A1CB}"/>
  </bookViews>
  <sheets>
    <sheet name="ingresos 2026" sheetId="4" r:id="rId1"/>
    <sheet name="egresos 2026" sheetId="5" r:id="rId2"/>
  </sheets>
  <externalReferences>
    <externalReference r:id="rId3"/>
  </externalReferences>
  <definedNames>
    <definedName name="_xlnm.Print_Area" localSheetId="1">'egresos 2026'!$A$1:$AA$147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4" l="1"/>
  <c r="C30" i="4"/>
  <c r="C29" i="4"/>
  <c r="I21" i="4"/>
  <c r="T73" i="5"/>
  <c r="Y144" i="5"/>
  <c r="T144" i="5"/>
  <c r="S144" i="5"/>
  <c r="R144" i="5"/>
  <c r="Q144" i="5"/>
  <c r="P144" i="5"/>
  <c r="O144" i="5"/>
  <c r="N144" i="5"/>
  <c r="M144" i="5"/>
  <c r="Z143" i="5"/>
  <c r="L143" i="5"/>
  <c r="AA143" i="5" s="1"/>
  <c r="Z142" i="5"/>
  <c r="L142" i="5"/>
  <c r="AA142" i="5" s="1"/>
  <c r="Z141" i="5"/>
  <c r="W141" i="5"/>
  <c r="U141" i="5"/>
  <c r="L141" i="5"/>
  <c r="AA141" i="5" s="1"/>
  <c r="Z140" i="5"/>
  <c r="U140" i="5"/>
  <c r="L140" i="5"/>
  <c r="AA140" i="5" s="1"/>
  <c r="Z139" i="5"/>
  <c r="U139" i="5"/>
  <c r="L139" i="5"/>
  <c r="AA139" i="5" s="1"/>
  <c r="Z137" i="5"/>
  <c r="K137" i="5"/>
  <c r="Z135" i="5"/>
  <c r="V135" i="5"/>
  <c r="L135" i="5"/>
  <c r="AA135" i="5" s="1"/>
  <c r="Z134" i="5"/>
  <c r="V134" i="5"/>
  <c r="L134" i="5"/>
  <c r="AA134" i="5" s="1"/>
  <c r="Z133" i="5"/>
  <c r="L133" i="5"/>
  <c r="AA133" i="5" s="1"/>
  <c r="Z132" i="5"/>
  <c r="L132" i="5"/>
  <c r="AA132" i="5" s="1"/>
  <c r="Z130" i="5"/>
  <c r="L130" i="5"/>
  <c r="AA130" i="5" s="1"/>
  <c r="Z129" i="5"/>
  <c r="L129" i="5"/>
  <c r="AA129" i="5" s="1"/>
  <c r="Z128" i="5"/>
  <c r="W128" i="5"/>
  <c r="L128" i="5"/>
  <c r="AA128" i="5" s="1"/>
  <c r="Z127" i="5"/>
  <c r="L127" i="5"/>
  <c r="AA127" i="5" s="1"/>
  <c r="Z126" i="5"/>
  <c r="L126" i="5"/>
  <c r="AA126" i="5" s="1"/>
  <c r="Z125" i="5"/>
  <c r="W125" i="5"/>
  <c r="H125" i="5"/>
  <c r="L125" i="5" s="1"/>
  <c r="AA125" i="5" s="1"/>
  <c r="Z124" i="5"/>
  <c r="W124" i="5"/>
  <c r="L124" i="5"/>
  <c r="AA124" i="5" s="1"/>
  <c r="Z123" i="5"/>
  <c r="U123" i="5"/>
  <c r="L123" i="5"/>
  <c r="AA123" i="5" s="1"/>
  <c r="Z121" i="5"/>
  <c r="W121" i="5"/>
  <c r="V121" i="5"/>
  <c r="U121" i="5"/>
  <c r="L121" i="5"/>
  <c r="AA121" i="5" s="1"/>
  <c r="Z120" i="5"/>
  <c r="W120" i="5"/>
  <c r="U120" i="5"/>
  <c r="L120" i="5"/>
  <c r="AA120" i="5" s="1"/>
  <c r="Z119" i="5"/>
  <c r="L119" i="5"/>
  <c r="AA119" i="5" s="1"/>
  <c r="Z118" i="5"/>
  <c r="U118" i="5"/>
  <c r="L118" i="5"/>
  <c r="AA118" i="5" s="1"/>
  <c r="Z117" i="5"/>
  <c r="L117" i="5"/>
  <c r="AA117" i="5" s="1"/>
  <c r="Z116" i="5"/>
  <c r="W116" i="5"/>
  <c r="V116" i="5"/>
  <c r="L116" i="5"/>
  <c r="AA116" i="5" s="1"/>
  <c r="AA115" i="5"/>
  <c r="Z115" i="5"/>
  <c r="W115" i="5"/>
  <c r="V115" i="5"/>
  <c r="U115" i="5"/>
  <c r="L115" i="5"/>
  <c r="Z114" i="5"/>
  <c r="U114" i="5"/>
  <c r="L114" i="5"/>
  <c r="AA114" i="5" s="1"/>
  <c r="Z112" i="5"/>
  <c r="W112" i="5"/>
  <c r="L112" i="5"/>
  <c r="AA112" i="5" s="1"/>
  <c r="Z111" i="5"/>
  <c r="L111" i="5"/>
  <c r="AA111" i="5" s="1"/>
  <c r="Z110" i="5"/>
  <c r="L110" i="5"/>
  <c r="AA110" i="5" s="1"/>
  <c r="Z109" i="5"/>
  <c r="L109" i="5"/>
  <c r="AA109" i="5" s="1"/>
  <c r="Z107" i="5"/>
  <c r="W107" i="5"/>
  <c r="V107" i="5"/>
  <c r="L107" i="5"/>
  <c r="AA107" i="5" s="1"/>
  <c r="Z106" i="5"/>
  <c r="U106" i="5"/>
  <c r="L106" i="5"/>
  <c r="AA106" i="5" s="1"/>
  <c r="Z105" i="5"/>
  <c r="W105" i="5"/>
  <c r="V105" i="5"/>
  <c r="J105" i="5"/>
  <c r="L105" i="5" s="1"/>
  <c r="AA105" i="5" s="1"/>
  <c r="Z104" i="5"/>
  <c r="L104" i="5"/>
  <c r="AA104" i="5" s="1"/>
  <c r="Z103" i="5"/>
  <c r="W103" i="5"/>
  <c r="U103" i="5"/>
  <c r="L103" i="5"/>
  <c r="AA103" i="5" s="1"/>
  <c r="Z101" i="5"/>
  <c r="L101" i="5"/>
  <c r="AA101" i="5" s="1"/>
  <c r="Z100" i="5"/>
  <c r="U100" i="5"/>
  <c r="J100" i="5"/>
  <c r="Z99" i="5"/>
  <c r="L99" i="5"/>
  <c r="AA99" i="5" s="1"/>
  <c r="Z98" i="5"/>
  <c r="L98" i="5"/>
  <c r="AA98" i="5" s="1"/>
  <c r="Z97" i="5"/>
  <c r="L97" i="5"/>
  <c r="AA97" i="5" s="1"/>
  <c r="Z96" i="5"/>
  <c r="L96" i="5"/>
  <c r="AA96" i="5" s="1"/>
  <c r="Z95" i="5"/>
  <c r="L95" i="5"/>
  <c r="AA95" i="5" s="1"/>
  <c r="Z94" i="5"/>
  <c r="W94" i="5"/>
  <c r="V94" i="5"/>
  <c r="L94" i="5"/>
  <c r="AA94" i="5" s="1"/>
  <c r="H94" i="5"/>
  <c r="Z93" i="5"/>
  <c r="L93" i="5"/>
  <c r="AA93" i="5" s="1"/>
  <c r="Z92" i="5"/>
  <c r="W92" i="5"/>
  <c r="V92" i="5"/>
  <c r="U92" i="5"/>
  <c r="I92" i="5"/>
  <c r="I144" i="5" s="1"/>
  <c r="H92" i="5"/>
  <c r="L92" i="5" s="1"/>
  <c r="AA92" i="5" s="1"/>
  <c r="Z89" i="5"/>
  <c r="W89" i="5"/>
  <c r="V89" i="5"/>
  <c r="U89" i="5"/>
  <c r="L89" i="5"/>
  <c r="AA89" i="5" s="1"/>
  <c r="Z88" i="5"/>
  <c r="AA88" i="5" s="1"/>
  <c r="Z87" i="5"/>
  <c r="W87" i="5"/>
  <c r="V87" i="5"/>
  <c r="U87" i="5"/>
  <c r="L87" i="5"/>
  <c r="AA87" i="5" s="1"/>
  <c r="Z86" i="5"/>
  <c r="W86" i="5"/>
  <c r="L86" i="5"/>
  <c r="AA86" i="5" s="1"/>
  <c r="Z85" i="5"/>
  <c r="L85" i="5"/>
  <c r="AA85" i="5" s="1"/>
  <c r="Z84" i="5"/>
  <c r="X84" i="5"/>
  <c r="W84" i="5"/>
  <c r="V84" i="5"/>
  <c r="U84" i="5"/>
  <c r="H84" i="5"/>
  <c r="L84" i="5" s="1"/>
  <c r="AA84" i="5" s="1"/>
  <c r="Z82" i="5"/>
  <c r="X82" i="5"/>
  <c r="X144" i="5" s="1"/>
  <c r="W82" i="5"/>
  <c r="V82" i="5"/>
  <c r="U82" i="5"/>
  <c r="U144" i="5" s="1"/>
  <c r="L82" i="5"/>
  <c r="AA82" i="5" s="1"/>
  <c r="Z81" i="5"/>
  <c r="L81" i="5"/>
  <c r="AA81" i="5" s="1"/>
  <c r="Z80" i="5"/>
  <c r="L80" i="5"/>
  <c r="AA80" i="5" s="1"/>
  <c r="Z79" i="5"/>
  <c r="W79" i="5"/>
  <c r="W144" i="5" s="1"/>
  <c r="H79" i="5"/>
  <c r="L79" i="5" s="1"/>
  <c r="AA79" i="5" s="1"/>
  <c r="Z78" i="5"/>
  <c r="L78" i="5"/>
  <c r="AA78" i="5" s="1"/>
  <c r="Z77" i="5"/>
  <c r="L77" i="5"/>
  <c r="AA77" i="5" s="1"/>
  <c r="Z76" i="5"/>
  <c r="Z144" i="5" s="1"/>
  <c r="V76" i="5"/>
  <c r="V144" i="5" s="1"/>
  <c r="H76" i="5"/>
  <c r="R73" i="5"/>
  <c r="S73" i="5"/>
  <c r="H73" i="5"/>
  <c r="I73" i="5"/>
  <c r="J73" i="5"/>
  <c r="K73" i="5"/>
  <c r="L73" i="5"/>
  <c r="M73" i="5"/>
  <c r="N73" i="5"/>
  <c r="O73" i="5"/>
  <c r="P73" i="5"/>
  <c r="Q73" i="5"/>
  <c r="U73" i="5"/>
  <c r="V73" i="5"/>
  <c r="W73" i="5"/>
  <c r="X73" i="5"/>
  <c r="Y73" i="5"/>
  <c r="Z73" i="5"/>
  <c r="AA73" i="5"/>
  <c r="T65" i="5"/>
  <c r="S65" i="5"/>
  <c r="R65" i="5"/>
  <c r="Q65" i="5"/>
  <c r="P65" i="5"/>
  <c r="O65" i="5"/>
  <c r="N65" i="5"/>
  <c r="M65" i="5"/>
  <c r="K65" i="5"/>
  <c r="I65" i="5"/>
  <c r="Z64" i="5"/>
  <c r="L64" i="5"/>
  <c r="AA64" i="5" s="1"/>
  <c r="Z63" i="5"/>
  <c r="L63" i="5"/>
  <c r="AA63" i="5" s="1"/>
  <c r="Z62" i="5"/>
  <c r="W62" i="5"/>
  <c r="U62" i="5"/>
  <c r="J62" i="5"/>
  <c r="Z61" i="5"/>
  <c r="L61" i="5"/>
  <c r="AA61" i="5" s="1"/>
  <c r="Z60" i="5"/>
  <c r="U60" i="5"/>
  <c r="L60" i="5"/>
  <c r="AA60" i="5" s="1"/>
  <c r="Z59" i="5"/>
  <c r="L59" i="5"/>
  <c r="AA59" i="5" s="1"/>
  <c r="Z58" i="5"/>
  <c r="L58" i="5"/>
  <c r="AA58" i="5" s="1"/>
  <c r="Z57" i="5"/>
  <c r="L57" i="5"/>
  <c r="AA57" i="5" s="1"/>
  <c r="Z56" i="5"/>
  <c r="W56" i="5"/>
  <c r="L56" i="5"/>
  <c r="AA56" i="5" s="1"/>
  <c r="Z53" i="5"/>
  <c r="L53" i="5"/>
  <c r="AA53" i="5" s="1"/>
  <c r="Z52" i="5"/>
  <c r="W52" i="5"/>
  <c r="V52" i="5"/>
  <c r="H52" i="5"/>
  <c r="L52" i="5" s="1"/>
  <c r="AA52" i="5" s="1"/>
  <c r="Z51" i="5"/>
  <c r="W51" i="5"/>
  <c r="L51" i="5"/>
  <c r="AA51" i="5" s="1"/>
  <c r="Z49" i="5"/>
  <c r="L49" i="5"/>
  <c r="AA49" i="5" s="1"/>
  <c r="Z48" i="5"/>
  <c r="U48" i="5"/>
  <c r="L48" i="5"/>
  <c r="AA48" i="5" s="1"/>
  <c r="Z47" i="5"/>
  <c r="X47" i="5"/>
  <c r="W47" i="5"/>
  <c r="V47" i="5"/>
  <c r="H47" i="5"/>
  <c r="L47" i="5" s="1"/>
  <c r="AA47" i="5" s="1"/>
  <c r="Z45" i="5"/>
  <c r="W45" i="5"/>
  <c r="L45" i="5"/>
  <c r="AA45" i="5" s="1"/>
  <c r="Z44" i="5"/>
  <c r="L44" i="5"/>
  <c r="AA44" i="5" s="1"/>
  <c r="Z43" i="5"/>
  <c r="W43" i="5"/>
  <c r="L43" i="5"/>
  <c r="AA43" i="5" s="1"/>
  <c r="Z42" i="5"/>
  <c r="X42" i="5"/>
  <c r="X65" i="5" s="1"/>
  <c r="W42" i="5"/>
  <c r="V42" i="5"/>
  <c r="U42" i="5"/>
  <c r="H42" i="5"/>
  <c r="L42" i="5" s="1"/>
  <c r="AA42" i="5" s="1"/>
  <c r="Z40" i="5"/>
  <c r="U40" i="5"/>
  <c r="L40" i="5"/>
  <c r="AA40" i="5" s="1"/>
  <c r="Z39" i="5"/>
  <c r="W39" i="5"/>
  <c r="L39" i="5"/>
  <c r="AA39" i="5" s="1"/>
  <c r="Z36" i="5"/>
  <c r="L36" i="5"/>
  <c r="AA36" i="5" s="1"/>
  <c r="Z35" i="5"/>
  <c r="L35" i="5"/>
  <c r="AA35" i="5" s="1"/>
  <c r="Z34" i="5"/>
  <c r="W34" i="5"/>
  <c r="U34" i="5"/>
  <c r="L34" i="5"/>
  <c r="AA34" i="5" s="1"/>
  <c r="Z33" i="5"/>
  <c r="L33" i="5"/>
  <c r="AA33" i="5" s="1"/>
  <c r="Z30" i="5"/>
  <c r="L30" i="5"/>
  <c r="AA30" i="5" s="1"/>
  <c r="Z29" i="5"/>
  <c r="L29" i="5"/>
  <c r="AA29" i="5" s="1"/>
  <c r="Z28" i="5"/>
  <c r="H28" i="5"/>
  <c r="L28" i="5" s="1"/>
  <c r="AA28" i="5" s="1"/>
  <c r="Z27" i="5"/>
  <c r="H27" i="5"/>
  <c r="L27" i="5" s="1"/>
  <c r="AA27" i="5" s="1"/>
  <c r="Z26" i="5"/>
  <c r="Y26" i="5"/>
  <c r="H26" i="5"/>
  <c r="L26" i="5" s="1"/>
  <c r="AA26" i="5" s="1"/>
  <c r="Z25" i="5"/>
  <c r="Y25" i="5"/>
  <c r="Y65" i="5" s="1"/>
  <c r="H25" i="5"/>
  <c r="L25" i="5" s="1"/>
  <c r="AA25" i="5" s="1"/>
  <c r="Z24" i="5"/>
  <c r="L24" i="5"/>
  <c r="AA24" i="5" s="1"/>
  <c r="Z23" i="5"/>
  <c r="W23" i="5"/>
  <c r="U23" i="5"/>
  <c r="L23" i="5"/>
  <c r="AA23" i="5" s="1"/>
  <c r="Z22" i="5"/>
  <c r="W22" i="5"/>
  <c r="V22" i="5"/>
  <c r="V65" i="5" s="1"/>
  <c r="U22" i="5"/>
  <c r="L22" i="5"/>
  <c r="AA22" i="5" s="1"/>
  <c r="H22" i="5"/>
  <c r="Z21" i="5"/>
  <c r="L21" i="5"/>
  <c r="AA21" i="5" s="1"/>
  <c r="Z19" i="5"/>
  <c r="W19" i="5"/>
  <c r="U19" i="5"/>
  <c r="H19" i="5"/>
  <c r="L19" i="5" s="1"/>
  <c r="AA19" i="5" s="1"/>
  <c r="Z18" i="5"/>
  <c r="U18" i="5"/>
  <c r="L18" i="5"/>
  <c r="AA18" i="5" s="1"/>
  <c r="Z17" i="5"/>
  <c r="U17" i="5"/>
  <c r="L17" i="5"/>
  <c r="AA17" i="5" s="1"/>
  <c r="Z16" i="5"/>
  <c r="Z65" i="5" s="1"/>
  <c r="W16" i="5"/>
  <c r="W65" i="5" s="1"/>
  <c r="U16" i="5"/>
  <c r="U65" i="5" s="1"/>
  <c r="H16" i="5"/>
  <c r="H21" i="4"/>
  <c r="Y72" i="5"/>
  <c r="X72" i="5"/>
  <c r="W72" i="5"/>
  <c r="V72" i="5"/>
  <c r="U72" i="5"/>
  <c r="G21" i="4"/>
  <c r="F21" i="4"/>
  <c r="K144" i="5" l="1"/>
  <c r="L137" i="5"/>
  <c r="AA137" i="5" s="1"/>
  <c r="J144" i="5"/>
  <c r="L100" i="5"/>
  <c r="AA100" i="5" s="1"/>
  <c r="H144" i="5"/>
  <c r="L76" i="5"/>
  <c r="L62" i="5"/>
  <c r="AA62" i="5" s="1"/>
  <c r="J65" i="5"/>
  <c r="H65" i="5"/>
  <c r="L16" i="5"/>
  <c r="L144" i="5" l="1"/>
  <c r="AA144" i="5" s="1"/>
  <c r="AA76" i="5"/>
  <c r="AA16" i="5"/>
  <c r="AA65" i="5" s="1"/>
  <c r="L65" i="5"/>
  <c r="E21" i="4"/>
  <c r="D21" i="4"/>
  <c r="C21" i="4"/>
  <c r="J167" i="5" l="1"/>
  <c r="I167" i="5"/>
  <c r="J166" i="5"/>
  <c r="I166" i="5"/>
  <c r="Y147" i="5"/>
  <c r="X147" i="5"/>
  <c r="W147" i="5"/>
  <c r="V147" i="5"/>
  <c r="U147" i="5"/>
  <c r="M72" i="5"/>
  <c r="I72" i="5"/>
  <c r="U71" i="5"/>
  <c r="B21" i="4"/>
  <c r="C32" i="4" l="1"/>
  <c r="C34" i="4" s="1"/>
  <c r="C36" i="4" s="1"/>
  <c r="C38" i="4" s="1"/>
  <c r="I29" i="4" s="1"/>
  <c r="I31" i="4" s="1"/>
  <c r="I33" i="4" s="1"/>
  <c r="I35" i="4" s="1"/>
  <c r="I162" i="5" l="1"/>
  <c r="I145" i="5"/>
  <c r="I163" i="5"/>
  <c r="I164" i="5" l="1"/>
  <c r="M25" i="4" l="1"/>
  <c r="L25" i="4"/>
  <c r="K25" i="4"/>
  <c r="J25" i="4"/>
  <c r="I25" i="4"/>
  <c r="H25" i="4"/>
  <c r="G25" i="4"/>
  <c r="F25" i="4"/>
  <c r="E25" i="4"/>
  <c r="D25" i="4"/>
  <c r="C25" i="4"/>
  <c r="B25" i="4"/>
  <c r="N21" i="4"/>
  <c r="N20" i="4"/>
  <c r="N19" i="4"/>
  <c r="N18" i="4"/>
  <c r="N16" i="4"/>
  <c r="N15" i="4"/>
  <c r="N14" i="4"/>
  <c r="N25" i="4" l="1"/>
</calcChain>
</file>

<file path=xl/sharedStrings.xml><?xml version="1.0" encoding="utf-8"?>
<sst xmlns="http://schemas.openxmlformats.org/spreadsheetml/2006/main" count="257" uniqueCount="231">
  <si>
    <t>(En Quetzales)</t>
  </si>
  <si>
    <t>MES</t>
  </si>
  <si>
    <t xml:space="preserve">Enero </t>
  </si>
  <si>
    <t>Febrero</t>
  </si>
  <si>
    <t xml:space="preserve">Marzo </t>
  </si>
  <si>
    <t xml:space="preserve">Abril </t>
  </si>
  <si>
    <t>Mayo</t>
  </si>
  <si>
    <t xml:space="preserve">Junio </t>
  </si>
  <si>
    <t xml:space="preserve">Julio </t>
  </si>
  <si>
    <t xml:space="preserve">Agosto </t>
  </si>
  <si>
    <t>Septiembre</t>
  </si>
  <si>
    <t xml:space="preserve">Octubre </t>
  </si>
  <si>
    <t>Noviembre</t>
  </si>
  <si>
    <t>Diciembre</t>
  </si>
  <si>
    <t>Totales</t>
  </si>
  <si>
    <t xml:space="preserve">REINTEGROS </t>
  </si>
  <si>
    <t>CDAG</t>
  </si>
  <si>
    <t>COG</t>
  </si>
  <si>
    <t xml:space="preserve">INGRESO </t>
  </si>
  <si>
    <t>OTROS</t>
  </si>
  <si>
    <t>AJUSTES (+)</t>
  </si>
  <si>
    <t>AJUSTES (-)</t>
  </si>
  <si>
    <t>TOTAL</t>
  </si>
  <si>
    <t xml:space="preserve">  </t>
  </si>
  <si>
    <t>Resumen Ingresos</t>
  </si>
  <si>
    <t>Resumen General</t>
  </si>
  <si>
    <t>Ingresos</t>
  </si>
  <si>
    <t>Ingresos C.O.G.</t>
  </si>
  <si>
    <t>Total de Ingresos</t>
  </si>
  <si>
    <t>Ingresos C.D.A.G.</t>
  </si>
  <si>
    <t>(-) Total de Egresos</t>
  </si>
  <si>
    <t>Ingresos 63-A2 (Otros)</t>
  </si>
  <si>
    <t>(+) Ajustes N/C Cap. Interes</t>
  </si>
  <si>
    <t>Sub-Total</t>
  </si>
  <si>
    <t>(-)Ajustes Retencion IPF</t>
  </si>
  <si>
    <t>(-) Ajustes</t>
  </si>
  <si>
    <t>Total</t>
  </si>
  <si>
    <t>(+) Ajustes</t>
  </si>
  <si>
    <t>Cindy Guerra</t>
  </si>
  <si>
    <t>Bairon Rosil</t>
  </si>
  <si>
    <t>Contadora</t>
  </si>
  <si>
    <t>Tesorero</t>
  </si>
  <si>
    <t xml:space="preserve"> </t>
  </si>
  <si>
    <t>Asociacion Nacional de Raquetbol de Guatemala</t>
  </si>
  <si>
    <t>EJECUCION PRESUPUESTARIA DE EGRESOS</t>
  </si>
  <si>
    <t>Art. 10 Numeral 8 Ley de Acceso a la Informacion Publica</t>
  </si>
  <si>
    <t>Modificaciones</t>
  </si>
  <si>
    <t>Fuente de Financiamiento 22</t>
  </si>
  <si>
    <t>Renglón</t>
  </si>
  <si>
    <t>Concepto</t>
  </si>
  <si>
    <t>Presupuesto Total</t>
  </si>
  <si>
    <t>Ampliacion de Presupuesto</t>
  </si>
  <si>
    <t>Debe</t>
  </si>
  <si>
    <t>Haber</t>
  </si>
  <si>
    <t>Presupuesto Vigente</t>
  </si>
  <si>
    <t>Enero</t>
  </si>
  <si>
    <t>Ejecutado</t>
  </si>
  <si>
    <t>Disponible</t>
  </si>
  <si>
    <t>SERVICIOS PERSONALES</t>
  </si>
  <si>
    <t xml:space="preserve">PERSONAL CON CARGOS FIJOS </t>
  </si>
  <si>
    <t>0 11</t>
  </si>
  <si>
    <t>Personal Permanente</t>
  </si>
  <si>
    <t>0 13</t>
  </si>
  <si>
    <t>Complemento por antigüedad</t>
  </si>
  <si>
    <t>0 14</t>
  </si>
  <si>
    <t xml:space="preserve">Complemento por calidad profesional </t>
  </si>
  <si>
    <t>0 15</t>
  </si>
  <si>
    <t xml:space="preserve">Complemento Espe.  Al personal permanente </t>
  </si>
  <si>
    <t>PERSONAL TEMPORAL</t>
  </si>
  <si>
    <t>0 29</t>
  </si>
  <si>
    <t>Otras Rem. Personal Temporal</t>
  </si>
  <si>
    <t>0 51</t>
  </si>
  <si>
    <t>Aporte patronal al  IGSS</t>
  </si>
  <si>
    <t>0 52</t>
  </si>
  <si>
    <t>Aportacion Patronal al INTECAP</t>
  </si>
  <si>
    <t>0 61</t>
  </si>
  <si>
    <t>Dietas</t>
  </si>
  <si>
    <t>0 63</t>
  </si>
  <si>
    <t>Gastos de Representación</t>
  </si>
  <si>
    <t>0 71</t>
  </si>
  <si>
    <t>Aguinaldo</t>
  </si>
  <si>
    <t>0 72</t>
  </si>
  <si>
    <t>Bono 14</t>
  </si>
  <si>
    <t>0 73</t>
  </si>
  <si>
    <t>Bono Vacacional</t>
  </si>
  <si>
    <t>0 79</t>
  </si>
  <si>
    <t>Otras Prestaciones</t>
  </si>
  <si>
    <t>SERVICIOS NO PERSONALES</t>
  </si>
  <si>
    <t>SERVICIOS BASICOS</t>
  </si>
  <si>
    <t xml:space="preserve">Energia electrica </t>
  </si>
  <si>
    <t>1 13</t>
  </si>
  <si>
    <t>Telefonía</t>
  </si>
  <si>
    <t xml:space="preserve">Correos y Telégrafos </t>
  </si>
  <si>
    <t xml:space="preserve">Servicios de Lavandaria </t>
  </si>
  <si>
    <t>PUBLICIDAD, IMPRESIÓN Y</t>
  </si>
  <si>
    <t>ENCUADERNACION</t>
  </si>
  <si>
    <t>Publicidad y Propaganda</t>
  </si>
  <si>
    <t>Impresión y Encuadernacion</t>
  </si>
  <si>
    <t>VIATICOS Y GASTOS CONEXOS</t>
  </si>
  <si>
    <t xml:space="preserve">1 31 </t>
  </si>
  <si>
    <t>Viáticos en el Exterior</t>
  </si>
  <si>
    <t>1 33</t>
  </si>
  <si>
    <t>Viáticos en el Interior</t>
  </si>
  <si>
    <t>Compensación por Km Recorrido</t>
  </si>
  <si>
    <t>Otros Viáticos y Gtos. Conexos</t>
  </si>
  <si>
    <t>TRANSPORTE Y ALMACENAJE</t>
  </si>
  <si>
    <t>1 41</t>
  </si>
  <si>
    <t>Transporte de Personas</t>
  </si>
  <si>
    <t>1 42</t>
  </si>
  <si>
    <t>Fletes</t>
  </si>
  <si>
    <t xml:space="preserve">Almacenaje </t>
  </si>
  <si>
    <t>ARRENDAMIENTOS Y DERECHOS</t>
  </si>
  <si>
    <t>1 51</t>
  </si>
  <si>
    <t>Arrendamiento de Edificios y Locales</t>
  </si>
  <si>
    <t>1 55</t>
  </si>
  <si>
    <t>Arrendamiento medios de Transporte</t>
  </si>
  <si>
    <t>Derechos de bienes intangibles</t>
  </si>
  <si>
    <t>MANTENIMIENTO Y REPARACION</t>
  </si>
  <si>
    <t>DE MAQUINARIA Y EQUIPO</t>
  </si>
  <si>
    <t>1 62</t>
  </si>
  <si>
    <t>Mantenimiento y Rep. Eq. de Oficina</t>
  </si>
  <si>
    <t>Mantenimiento y Rep. Eq. Edu. Y Recreativos</t>
  </si>
  <si>
    <t>Mant. y Rep. de Eq. de Transporte</t>
  </si>
  <si>
    <t xml:space="preserve">Mant. y Rep. de Eq.  Para Comunicaciones </t>
  </si>
  <si>
    <t>1 68</t>
  </si>
  <si>
    <t>Mant. y Rep. de Eq. de Cómputo</t>
  </si>
  <si>
    <t xml:space="preserve">Mant. y Rep. De otras maquinas y equipos </t>
  </si>
  <si>
    <t xml:space="preserve">Mantenimiento y rep de edificio </t>
  </si>
  <si>
    <t>Mantenimiento  de Instalaciones</t>
  </si>
  <si>
    <t xml:space="preserve">Mant. y Rep. De otras obras e instalaciónes </t>
  </si>
  <si>
    <t>van</t>
  </si>
  <si>
    <t>Presupuesto Total Vigente</t>
  </si>
  <si>
    <t>Vienen</t>
  </si>
  <si>
    <t>SERVICIOS TECNICOS</t>
  </si>
  <si>
    <t>Y PROFESIONALES</t>
  </si>
  <si>
    <t>Servicios Médico-Sanitarios</t>
  </si>
  <si>
    <t>1 83</t>
  </si>
  <si>
    <t>Servicios Jurídicos</t>
  </si>
  <si>
    <t xml:space="preserve">Servicios de Capacitacion </t>
  </si>
  <si>
    <t>Servicios de informatica</t>
  </si>
  <si>
    <t>Otros Servicios</t>
  </si>
  <si>
    <t>OTROS SERVICIOS NO PERSONALES</t>
  </si>
  <si>
    <t>1 91</t>
  </si>
  <si>
    <t>Primas y Gastos de Seguros y Fianzas</t>
  </si>
  <si>
    <t>Otras Comisiones y Gtos. Bancarios</t>
  </si>
  <si>
    <t>1 95</t>
  </si>
  <si>
    <t>Impuestos, Derechos y Tasas</t>
  </si>
  <si>
    <t>Servicios de Atenciòn y Protocolo</t>
  </si>
  <si>
    <t>Otros Servicios No Personales</t>
  </si>
  <si>
    <t>MATERIALES Y SUMINISTROS</t>
  </si>
  <si>
    <t>ALIMENTOS Y PROD. AGROP.</t>
  </si>
  <si>
    <t>2 11</t>
  </si>
  <si>
    <t>Alimentos para Personas</t>
  </si>
  <si>
    <t>Productos Agrof. Madera corcho y manuf.</t>
  </si>
  <si>
    <t>Prendas de Vestir</t>
  </si>
  <si>
    <t>Otros texteles y Vestuario</t>
  </si>
  <si>
    <t>Papel de Escritorio</t>
  </si>
  <si>
    <t xml:space="preserve">Productos de artes gráficas </t>
  </si>
  <si>
    <t>Libros Revistas y Periodicos</t>
  </si>
  <si>
    <t xml:space="preserve">Especies timbradas y valores </t>
  </si>
  <si>
    <t>Otros Productos de papel, carton e impresos</t>
  </si>
  <si>
    <t>PRODUCTOS QUIMICOS Y CONEXOS</t>
  </si>
  <si>
    <t>2 62</t>
  </si>
  <si>
    <t>Combustibles y Lubricantes</t>
  </si>
  <si>
    <t>2 66</t>
  </si>
  <si>
    <t>Productos medicinales y Farm.</t>
  </si>
  <si>
    <t>Tintas</t>
  </si>
  <si>
    <t>Productos plásticos, nylon  y p.v.c.</t>
  </si>
  <si>
    <t>PRODUC. DE MINERALES NO METÁLICOS</t>
  </si>
  <si>
    <t xml:space="preserve">Productos de Vidrio </t>
  </si>
  <si>
    <t xml:space="preserve">Productos de cemento, pómez, Asbesto y yeso </t>
  </si>
  <si>
    <t xml:space="preserve">Otros Productos de Minerales no metálicos </t>
  </si>
  <si>
    <t xml:space="preserve">Productos de metal </t>
  </si>
  <si>
    <t>OTROS MAT. Y SUMINISTROS</t>
  </si>
  <si>
    <t>2 91</t>
  </si>
  <si>
    <t>Utiles de Oficina</t>
  </si>
  <si>
    <t>Utiles de Limpieza y Prod Sanitarios</t>
  </si>
  <si>
    <t>2 94</t>
  </si>
  <si>
    <t>Utiles deportivos y recreativos</t>
  </si>
  <si>
    <t>Utiles menores medicos-quirur y de lab.</t>
  </si>
  <si>
    <t>Utiles de Cocina y Comedor</t>
  </si>
  <si>
    <t>Utiles, Materiales Electricos</t>
  </si>
  <si>
    <t>Accesorios y Repuestos en General</t>
  </si>
  <si>
    <t>2 99</t>
  </si>
  <si>
    <t>Otros Materiales y Suministros</t>
  </si>
  <si>
    <t>PROPIEDAD, PLANTA, EQUIPO</t>
  </si>
  <si>
    <t>3 22</t>
  </si>
  <si>
    <t>Equipo de Oficina</t>
  </si>
  <si>
    <t>Equipo Medico-Sanitario y de Laboratorio</t>
  </si>
  <si>
    <t>3 24</t>
  </si>
  <si>
    <t>Equipo Educacional y Recreativo</t>
  </si>
  <si>
    <t>Equipo de Comunicaciones</t>
  </si>
  <si>
    <t>Otras Maquinarias y Equipo</t>
  </si>
  <si>
    <t>Equipo de computo</t>
  </si>
  <si>
    <t>3 32</t>
  </si>
  <si>
    <t>Const de Bienes de uso no comun</t>
  </si>
  <si>
    <t>TRANSF. AL SECTOR EXT.</t>
  </si>
  <si>
    <t>Indemnizacion al Personal</t>
  </si>
  <si>
    <t xml:space="preserve">Beca de estuidos en el interior </t>
  </si>
  <si>
    <t>Otras Transferencias a personas</t>
  </si>
  <si>
    <t>Trans. A Org.Internacionales</t>
  </si>
  <si>
    <t xml:space="preserve">CREDITO DE RESERVA </t>
  </si>
  <si>
    <t>Credito de reserva</t>
  </si>
  <si>
    <t>EGRESOS QUE NO AFECTAN AL PRESUPUESTO</t>
  </si>
  <si>
    <t>FIANZA DE FIDELIDAD DE EMPLEADOS RENGLON  011</t>
  </si>
  <si>
    <t xml:space="preserve">IMPUESTOS EFECTUADOS EN EL MES </t>
  </si>
  <si>
    <t>IGSS LABORAL DE EMPLEADOS RENGLON 011</t>
  </si>
  <si>
    <t xml:space="preserve">REINTEGRO AL COMITÉ OLIMPICO GUATEMALTECO </t>
  </si>
  <si>
    <t xml:space="preserve">REINTEGRO A LA C.D.A.G. </t>
  </si>
  <si>
    <t>TOTALES</t>
  </si>
  <si>
    <t>0 21</t>
  </si>
  <si>
    <t>Personal Supernumerario</t>
  </si>
  <si>
    <t>Servicios de Vigilancia</t>
  </si>
  <si>
    <t xml:space="preserve">Insecticidas, Fumigación y Similares </t>
  </si>
  <si>
    <t>Equipo de Transporte</t>
  </si>
  <si>
    <t>CDAG AMPLIACIÓN</t>
  </si>
  <si>
    <t>Total de Ingresos 2,026</t>
  </si>
  <si>
    <t>C.O.G. 2026</t>
  </si>
  <si>
    <t>Saldo de Caja 2026</t>
  </si>
  <si>
    <t>Sercicios Económicos, Finan. Conta. Y de Audi</t>
  </si>
  <si>
    <t xml:space="preserve">Servicios de Ing., Arq. Y supervición de obras </t>
  </si>
  <si>
    <t>Marzo</t>
  </si>
  <si>
    <t>Abril</t>
  </si>
  <si>
    <t>Abirl</t>
  </si>
  <si>
    <t xml:space="preserve">Mayo </t>
  </si>
  <si>
    <t>Julio</t>
  </si>
  <si>
    <t>Papeles Comerciales, Cartulinas, Cart. Otros</t>
  </si>
  <si>
    <t>Actualizado: 31 de agosto de  2026</t>
  </si>
  <si>
    <t>Agosto</t>
  </si>
  <si>
    <t>Actualizado: 31 de agosto  de  2026</t>
  </si>
  <si>
    <t>(+) Saldo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</si>
</sst>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Q&quot;* #,##0.00_-;\-&quot;Q&quot;* #,##0.00_-;_-&quot;Q&quot;* &quot;-&quot;??_-;_-@_-"/>
    <numFmt numFmtId="165" formatCode="&quot;Q&quot;#,##0.00"/>
    <numFmt numFmtId="166" formatCode="_(&quot;Q&quot;* #,##0.00_);_(&quot;Q&quot;* \(#,##0.00\);_(&quot;Q&quot;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Arial"/>
      <family val="2"/>
    </font>
    <font>
      <sz val="10"/>
      <color theme="0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center"/>
    </xf>
    <xf numFmtId="4" fontId="0" fillId="0" borderId="0" xfId="0" applyNumberFormat="1"/>
    <xf numFmtId="4" fontId="10" fillId="0" borderId="0" xfId="0" applyNumberFormat="1" applyFont="1"/>
    <xf numFmtId="4" fontId="10" fillId="0" borderId="0" xfId="0" applyNumberFormat="1" applyFont="1" applyAlignment="1">
      <alignment horizontal="center"/>
    </xf>
    <xf numFmtId="0" fontId="10" fillId="0" borderId="0" xfId="0" applyFont="1"/>
    <xf numFmtId="165" fontId="10" fillId="0" borderId="0" xfId="0" applyNumberFormat="1" applyFont="1" applyAlignment="1">
      <alignment horizontal="center"/>
    </xf>
    <xf numFmtId="165" fontId="10" fillId="0" borderId="0" xfId="0" applyNumberFormat="1" applyFont="1"/>
    <xf numFmtId="165" fontId="10" fillId="0" borderId="5" xfId="0" applyNumberFormat="1" applyFont="1" applyBorder="1"/>
    <xf numFmtId="165" fontId="10" fillId="0" borderId="5" xfId="0" applyNumberFormat="1" applyFont="1" applyBorder="1" applyAlignment="1">
      <alignment horizontal="center"/>
    </xf>
    <xf numFmtId="0" fontId="7" fillId="0" borderId="0" xfId="0" applyFont="1"/>
    <xf numFmtId="0" fontId="11" fillId="0" borderId="0" xfId="0" applyFont="1"/>
    <xf numFmtId="165" fontId="6" fillId="0" borderId="6" xfId="0" applyNumberFormat="1" applyFont="1" applyBorder="1"/>
    <xf numFmtId="0" fontId="11" fillId="0" borderId="0" xfId="0" applyFont="1" applyAlignment="1">
      <alignment horizontal="left"/>
    </xf>
    <xf numFmtId="165" fontId="11" fillId="0" borderId="6" xfId="0" applyNumberFormat="1" applyFont="1" applyBorder="1"/>
    <xf numFmtId="165" fontId="0" fillId="0" borderId="0" xfId="0" applyNumberFormat="1"/>
    <xf numFmtId="0" fontId="0" fillId="0" borderId="0" xfId="0" applyAlignment="1">
      <alignment horizontal="center" vertical="center"/>
    </xf>
    <xf numFmtId="4" fontId="6" fillId="0" borderId="0" xfId="0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/>
    <xf numFmtId="0" fontId="3" fillId="0" borderId="0" xfId="0" applyFont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vertical="center" wrapText="1"/>
    </xf>
    <xf numFmtId="0" fontId="1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" fontId="12" fillId="0" borderId="16" xfId="0" applyNumberFormat="1" applyFont="1" applyBorder="1"/>
    <xf numFmtId="0" fontId="12" fillId="0" borderId="18" xfId="0" applyFont="1" applyBorder="1" applyAlignment="1">
      <alignment horizontal="left"/>
    </xf>
    <xf numFmtId="0" fontId="13" fillId="0" borderId="19" xfId="0" applyFont="1" applyBorder="1"/>
    <xf numFmtId="4" fontId="12" fillId="0" borderId="19" xfId="0" applyNumberFormat="1" applyFont="1" applyBorder="1"/>
    <xf numFmtId="4" fontId="12" fillId="0" borderId="20" xfId="0" applyNumberFormat="1" applyFont="1" applyBorder="1"/>
    <xf numFmtId="0" fontId="12" fillId="0" borderId="18" xfId="0" applyFont="1" applyBorder="1" applyAlignment="1">
      <alignment horizontal="center"/>
    </xf>
    <xf numFmtId="0" fontId="12" fillId="0" borderId="19" xfId="0" applyFont="1" applyBorder="1"/>
    <xf numFmtId="0" fontId="10" fillId="0" borderId="19" xfId="0" applyFont="1" applyBorder="1"/>
    <xf numFmtId="4" fontId="15" fillId="0" borderId="20" xfId="0" applyNumberFormat="1" applyFont="1" applyBorder="1"/>
    <xf numFmtId="2" fontId="12" fillId="0" borderId="19" xfId="0" applyNumberFormat="1" applyFont="1" applyBorder="1" applyAlignment="1">
      <alignment horizontal="right"/>
    </xf>
    <xf numFmtId="4" fontId="12" fillId="0" borderId="19" xfId="0" applyNumberFormat="1" applyFont="1" applyBorder="1" applyAlignment="1">
      <alignment horizontal="right"/>
    </xf>
    <xf numFmtId="4" fontId="12" fillId="0" borderId="0" xfId="0" applyNumberFormat="1" applyFont="1"/>
    <xf numFmtId="0" fontId="12" fillId="0" borderId="19" xfId="0" applyFont="1" applyBorder="1" applyAlignment="1">
      <alignment horizontal="left"/>
    </xf>
    <xf numFmtId="4" fontId="12" fillId="2" borderId="19" xfId="0" applyNumberFormat="1" applyFont="1" applyFill="1" applyBorder="1"/>
    <xf numFmtId="4" fontId="15" fillId="2" borderId="19" xfId="0" applyNumberFormat="1" applyFont="1" applyFill="1" applyBorder="1"/>
    <xf numFmtId="0" fontId="13" fillId="0" borderId="18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/>
    <xf numFmtId="4" fontId="12" fillId="0" borderId="22" xfId="0" applyNumberFormat="1" applyFont="1" applyBorder="1"/>
    <xf numFmtId="0" fontId="12" fillId="0" borderId="23" xfId="0" applyFont="1" applyBorder="1" applyAlignment="1">
      <alignment horizontal="center"/>
    </xf>
    <xf numFmtId="0" fontId="12" fillId="0" borderId="24" xfId="0" applyFont="1" applyBorder="1"/>
    <xf numFmtId="4" fontId="12" fillId="0" borderId="24" xfId="0" applyNumberFormat="1" applyFont="1" applyBorder="1"/>
    <xf numFmtId="4" fontId="12" fillId="0" borderId="25" xfId="0" applyNumberFormat="1" applyFont="1" applyBorder="1"/>
    <xf numFmtId="4" fontId="16" fillId="0" borderId="0" xfId="0" applyNumberFormat="1" applyFont="1"/>
    <xf numFmtId="0" fontId="12" fillId="0" borderId="15" xfId="0" applyFont="1" applyBorder="1" applyAlignment="1">
      <alignment horizontal="center"/>
    </xf>
    <xf numFmtId="0" fontId="12" fillId="0" borderId="16" xfId="0" applyFont="1" applyBorder="1"/>
    <xf numFmtId="4" fontId="12" fillId="0" borderId="16" xfId="0" applyNumberFormat="1" applyFont="1" applyBorder="1" applyAlignment="1">
      <alignment horizontal="center" vertical="center" wrapText="1"/>
    </xf>
    <xf numFmtId="4" fontId="12" fillId="0" borderId="17" xfId="0" applyNumberFormat="1" applyFont="1" applyBorder="1" applyAlignment="1">
      <alignment horizontal="center" vertical="center" wrapText="1"/>
    </xf>
    <xf numFmtId="4" fontId="0" fillId="3" borderId="0" xfId="0" applyNumberFormat="1" applyFill="1"/>
    <xf numFmtId="0" fontId="12" fillId="0" borderId="18" xfId="0" applyFont="1" applyBorder="1"/>
    <xf numFmtId="0" fontId="17" fillId="0" borderId="19" xfId="0" applyFont="1" applyBorder="1"/>
    <xf numFmtId="0" fontId="18" fillId="2" borderId="19" xfId="0" applyFont="1" applyFill="1" applyBorder="1" applyAlignment="1">
      <alignment horizontal="left"/>
    </xf>
    <xf numFmtId="0" fontId="18" fillId="0" borderId="19" xfId="0" applyFont="1" applyBorder="1"/>
    <xf numFmtId="0" fontId="18" fillId="0" borderId="22" xfId="0" applyFont="1" applyBorder="1"/>
    <xf numFmtId="4" fontId="15" fillId="0" borderId="22" xfId="0" applyNumberFormat="1" applyFont="1" applyBorder="1"/>
    <xf numFmtId="0" fontId="19" fillId="0" borderId="0" xfId="0" applyFont="1"/>
    <xf numFmtId="0" fontId="2" fillId="0" borderId="0" xfId="0" applyFont="1"/>
    <xf numFmtId="0" fontId="4" fillId="0" borderId="0" xfId="0" applyFont="1"/>
    <xf numFmtId="4" fontId="4" fillId="0" borderId="0" xfId="0" applyNumberFormat="1" applyFont="1"/>
    <xf numFmtId="0" fontId="0" fillId="2" borderId="0" xfId="0" applyFill="1"/>
    <xf numFmtId="4" fontId="15" fillId="2" borderId="0" xfId="0" applyNumberFormat="1" applyFont="1" applyFill="1"/>
    <xf numFmtId="4" fontId="4" fillId="2" borderId="0" xfId="0" applyNumberFormat="1" applyFont="1" applyFill="1"/>
    <xf numFmtId="4" fontId="2" fillId="0" borderId="0" xfId="0" applyNumberFormat="1" applyFont="1"/>
    <xf numFmtId="0" fontId="15" fillId="2" borderId="0" xfId="0" applyFont="1" applyFill="1"/>
    <xf numFmtId="0" fontId="16" fillId="0" borderId="0" xfId="0" applyFont="1"/>
    <xf numFmtId="4" fontId="19" fillId="0" borderId="0" xfId="0" applyNumberFormat="1" applyFont="1"/>
    <xf numFmtId="0" fontId="20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22" fillId="2" borderId="0" xfId="0" applyNumberFormat="1" applyFont="1" applyFill="1" applyAlignment="1">
      <alignment horizontal="center" vertical="center" wrapText="1"/>
    </xf>
    <xf numFmtId="4" fontId="4" fillId="0" borderId="0" xfId="1" applyNumberFormat="1" applyFont="1"/>
    <xf numFmtId="2" fontId="12" fillId="2" borderId="19" xfId="0" applyNumberFormat="1" applyFont="1" applyFill="1" applyBorder="1" applyAlignment="1">
      <alignment horizontal="right"/>
    </xf>
    <xf numFmtId="4" fontId="12" fillId="2" borderId="19" xfId="0" applyNumberFormat="1" applyFont="1" applyFill="1" applyBorder="1" applyAlignment="1">
      <alignment horizontal="right"/>
    </xf>
    <xf numFmtId="0" fontId="12" fillId="2" borderId="19" xfId="0" applyFont="1" applyFill="1" applyBorder="1" applyAlignment="1">
      <alignment horizontal="right"/>
    </xf>
    <xf numFmtId="0" fontId="12" fillId="0" borderId="23" xfId="0" applyFont="1" applyBorder="1"/>
    <xf numFmtId="0" fontId="12" fillId="0" borderId="24" xfId="0" applyFont="1" applyBorder="1" applyAlignment="1">
      <alignment horizontal="center"/>
    </xf>
    <xf numFmtId="4" fontId="15" fillId="0" borderId="24" xfId="0" applyNumberFormat="1" applyFont="1" applyBorder="1"/>
    <xf numFmtId="4" fontId="24" fillId="0" borderId="3" xfId="0" applyNumberFormat="1" applyFont="1" applyBorder="1" applyAlignment="1">
      <alignment horizontal="right"/>
    </xf>
    <xf numFmtId="0" fontId="21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left"/>
    </xf>
    <xf numFmtId="0" fontId="13" fillId="0" borderId="16" xfId="0" applyFont="1" applyBorder="1"/>
    <xf numFmtId="4" fontId="12" fillId="0" borderId="17" xfId="0" applyNumberFormat="1" applyFont="1" applyBorder="1"/>
    <xf numFmtId="4" fontId="25" fillId="2" borderId="0" xfId="0" applyNumberFormat="1" applyFont="1" applyFill="1"/>
    <xf numFmtId="4" fontId="22" fillId="2" borderId="0" xfId="0" applyNumberFormat="1" applyFont="1" applyFill="1"/>
    <xf numFmtId="0" fontId="9" fillId="0" borderId="0" xfId="0" applyFont="1"/>
    <xf numFmtId="0" fontId="26" fillId="0" borderId="0" xfId="0" applyFont="1"/>
    <xf numFmtId="4" fontId="22" fillId="0" borderId="0" xfId="0" applyNumberFormat="1" applyFont="1"/>
    <xf numFmtId="4" fontId="26" fillId="0" borderId="0" xfId="0" applyNumberFormat="1" applyFont="1"/>
    <xf numFmtId="4" fontId="9" fillId="0" borderId="0" xfId="0" applyNumberFormat="1" applyFont="1"/>
    <xf numFmtId="0" fontId="23" fillId="0" borderId="0" xfId="0" applyFont="1"/>
    <xf numFmtId="4" fontId="25" fillId="2" borderId="0" xfId="0" applyNumberFormat="1" applyFont="1" applyFill="1" applyAlignment="1">
      <alignment horizontal="center" vertical="center"/>
    </xf>
    <xf numFmtId="4" fontId="7" fillId="0" borderId="0" xfId="0" applyNumberFormat="1" applyFont="1"/>
    <xf numFmtId="0" fontId="4" fillId="2" borderId="0" xfId="0" applyFont="1" applyFill="1"/>
    <xf numFmtId="4" fontId="23" fillId="0" borderId="0" xfId="0" applyNumberFormat="1" applyFont="1"/>
    <xf numFmtId="0" fontId="16" fillId="2" borderId="0" xfId="0" applyFont="1" applyFill="1"/>
    <xf numFmtId="4" fontId="9" fillId="2" borderId="0" xfId="0" applyNumberFormat="1" applyFont="1" applyFill="1"/>
    <xf numFmtId="4" fontId="23" fillId="2" borderId="0" xfId="0" applyNumberFormat="1" applyFont="1" applyFill="1"/>
    <xf numFmtId="0" fontId="23" fillId="2" borderId="0" xfId="0" applyFont="1" applyFill="1"/>
    <xf numFmtId="166" fontId="23" fillId="2" borderId="0" xfId="0" applyNumberFormat="1" applyFont="1" applyFill="1"/>
    <xf numFmtId="164" fontId="23" fillId="2" borderId="0" xfId="0" applyNumberFormat="1" applyFont="1" applyFill="1"/>
    <xf numFmtId="166" fontId="23" fillId="0" borderId="0" xfId="0" applyNumberFormat="1" applyFont="1"/>
    <xf numFmtId="0" fontId="13" fillId="5" borderId="10" xfId="0" applyFont="1" applyFill="1" applyBorder="1" applyAlignment="1">
      <alignment vertical="center" wrapText="1"/>
    </xf>
    <xf numFmtId="0" fontId="13" fillId="5" borderId="11" xfId="0" applyFont="1" applyFill="1" applyBorder="1" applyAlignment="1">
      <alignment horizontal="center" vertical="center" wrapText="1"/>
    </xf>
    <xf numFmtId="2" fontId="13" fillId="5" borderId="11" xfId="0" applyNumberFormat="1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9" fontId="13" fillId="5" borderId="10" xfId="0" applyNumberFormat="1" applyFont="1" applyFill="1" applyBorder="1" applyAlignment="1">
      <alignment horizontal="center" vertical="center" wrapText="1"/>
    </xf>
    <xf numFmtId="9" fontId="13" fillId="5" borderId="14" xfId="0" applyNumberFormat="1" applyFont="1" applyFill="1" applyBorder="1" applyAlignment="1">
      <alignment horizontal="center" vertical="center" wrapText="1"/>
    </xf>
    <xf numFmtId="9" fontId="13" fillId="5" borderId="8" xfId="0" applyNumberFormat="1" applyFont="1" applyFill="1" applyBorder="1" applyAlignment="1">
      <alignment horizontal="center" vertical="center" wrapText="1"/>
    </xf>
    <xf numFmtId="9" fontId="13" fillId="5" borderId="13" xfId="0" applyNumberFormat="1" applyFont="1" applyFill="1" applyBorder="1" applyAlignment="1">
      <alignment horizontal="center" vertical="center" wrapText="1"/>
    </xf>
    <xf numFmtId="9" fontId="13" fillId="5" borderId="9" xfId="0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4" fontId="13" fillId="5" borderId="11" xfId="0" applyNumberFormat="1" applyFont="1" applyFill="1" applyBorder="1" applyAlignment="1">
      <alignment horizontal="center" vertical="center" wrapText="1"/>
    </xf>
    <xf numFmtId="9" fontId="13" fillId="5" borderId="11" xfId="0" applyNumberFormat="1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/>
    </xf>
    <xf numFmtId="0" fontId="21" fillId="2" borderId="0" xfId="0" applyFont="1" applyFill="1" applyAlignment="1">
      <alignment horizontal="center" vertical="center"/>
    </xf>
    <xf numFmtId="0" fontId="13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13" fillId="5" borderId="9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1</xdr:col>
      <xdr:colOff>790575</xdr:colOff>
      <xdr:row>8</xdr:row>
      <xdr:rowOff>142875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F004914-1808-404D-858B-960065FE9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1552575" cy="1685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conta/OneDrive/Escritorio/Raquetbol%202026/Estados%20Financieros%202026/09.%20EJECUCI&#211;N%20PRESUPUESTARIA%202025.xlsx" TargetMode="External"/><Relationship Id="rId2" Type="http://schemas.openxmlformats.org/officeDocument/2006/relationships/externalLinkPath" Target="file:///C:\Users\conta\OneDrive\Escritorio\Raquetbol%202026\Estados%20Financieros%202026\09.%20EJECUCI&#211;N%20PRESUPUESTARIA%202025.xlsx" TargetMode="External"/><Relationship Id="rId1" Type="http://schemas.openxmlformats.org/officeDocument/2006/relationships/externalLinkPath" Target="/Users/conta/OneDrive/Escritorio/Raquetbol%202026/Estados%20Financieros%202026/09.%20EJECUCI&#211;N%20PRESUPUESTARI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  <sheetName val="Enero 2024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Enero 2025"/>
      <sheetName val="Febrero 2025"/>
      <sheetName val="Marzo 2025"/>
      <sheetName val="Abril 2025"/>
      <sheetName val="INGRESOS 2024"/>
      <sheetName val="mayo 2025"/>
      <sheetName val="Ingresos junio 2025"/>
      <sheetName val="Junio 2025"/>
      <sheetName val="Ingresos julio 2025"/>
      <sheetName val="julio 2025"/>
      <sheetName val="ingresos agosto 2025"/>
      <sheetName val="agosto 2025"/>
      <sheetName val="Septiembre 2025"/>
      <sheetName val="Octubre 2025"/>
      <sheetName val="Noviembre 205"/>
      <sheetName val="Diciembre 2025"/>
      <sheetName val="ingresos f 26"/>
      <sheetName val="Febrero2026"/>
      <sheetName val="INGRESO MARZO "/>
      <sheetName val="mARZO 2026"/>
      <sheetName val="Ingresos abril "/>
      <sheetName val="abril 2026"/>
      <sheetName val="Ingresos mayo "/>
      <sheetName val="Mayo 2026"/>
      <sheetName val="ingresos junio "/>
      <sheetName val="junio 2026"/>
      <sheetName val="Ingresos julio"/>
      <sheetName val="julio 26"/>
      <sheetName val="Ingresos agosto 26."/>
      <sheetName val="Agot 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6">
          <cell r="X136">
            <v>1254959.6800000002</v>
          </cell>
          <cell r="Y136">
            <v>1597790.7000000002</v>
          </cell>
          <cell r="Z136">
            <v>2379393.4300000006</v>
          </cell>
          <cell r="AA136">
            <v>867800.66</v>
          </cell>
          <cell r="AB136">
            <v>395429.88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76462-45D2-4838-B20E-DCD05FDF8643}">
  <dimension ref="A2:AB46"/>
  <sheetViews>
    <sheetView view="pageBreakPreview" zoomScale="60" zoomScaleNormal="100" workbookViewId="0">
      <selection activeCell="M37" sqref="M37"/>
    </sheetView>
  </sheetViews>
  <sheetFormatPr baseColWidth="10" defaultRowHeight="15" x14ac:dyDescent="0.25"/>
  <cols>
    <col min="1" max="1" width="14.140625" customWidth="1"/>
    <col min="2" max="2" width="13" customWidth="1"/>
    <col min="3" max="3" width="17.140625" customWidth="1"/>
    <col min="4" max="4" width="14.7109375" customWidth="1"/>
    <col min="5" max="5" width="12.28515625" customWidth="1"/>
    <col min="6" max="6" width="13.85546875" customWidth="1"/>
    <col min="7" max="7" width="12.7109375" customWidth="1"/>
    <col min="8" max="8" width="15.28515625" customWidth="1"/>
    <col min="9" max="9" width="19.5703125" customWidth="1"/>
    <col min="10" max="10" width="11.5703125" bestFit="1" customWidth="1"/>
    <col min="11" max="11" width="10.140625" bestFit="1" customWidth="1"/>
    <col min="12" max="13" width="10.140625" customWidth="1"/>
    <col min="14" max="14" width="16.85546875" customWidth="1"/>
  </cols>
  <sheetData>
    <row r="2" spans="1:28" ht="15" customHeight="1" x14ac:dyDescent="0.25">
      <c r="H2" s="28"/>
      <c r="J2" s="28"/>
      <c r="K2" s="28"/>
      <c r="L2" s="28"/>
      <c r="M2" s="28"/>
      <c r="N2" s="28"/>
      <c r="O2" s="28"/>
      <c r="P2" s="28"/>
      <c r="Q2" s="28"/>
      <c r="R2" s="29"/>
      <c r="S2" s="29"/>
      <c r="T2" s="29"/>
      <c r="U2" s="29"/>
      <c r="V2" s="29"/>
      <c r="W2" s="29"/>
      <c r="X2" s="29"/>
    </row>
    <row r="3" spans="1:28" ht="15" customHeight="1" x14ac:dyDescent="0.25">
      <c r="D3" s="139" t="s">
        <v>43</v>
      </c>
      <c r="E3" s="139"/>
      <c r="F3" s="139"/>
      <c r="G3" s="139"/>
      <c r="H3" s="139"/>
      <c r="I3" s="139"/>
      <c r="J3" s="139"/>
      <c r="K3" s="139"/>
      <c r="L3" s="28"/>
      <c r="M3" s="28"/>
      <c r="N3" s="28"/>
      <c r="O3" s="28"/>
      <c r="P3" s="28"/>
      <c r="Q3" s="28"/>
      <c r="R3" s="29"/>
      <c r="S3" s="29"/>
      <c r="T3" s="29"/>
      <c r="U3" s="29"/>
      <c r="V3" s="29"/>
      <c r="W3" s="29"/>
      <c r="X3" s="29"/>
    </row>
    <row r="4" spans="1:28" ht="15.75" customHeight="1" x14ac:dyDescent="0.25">
      <c r="D4" s="140" t="s">
        <v>44</v>
      </c>
      <c r="E4" s="140"/>
      <c r="F4" s="140"/>
      <c r="G4" s="140"/>
      <c r="H4" s="140"/>
      <c r="I4" s="140"/>
      <c r="J4" s="140"/>
      <c r="K4" s="140"/>
      <c r="L4" s="28"/>
      <c r="M4" s="28"/>
      <c r="N4" s="28"/>
      <c r="O4" s="28"/>
      <c r="P4" s="28"/>
      <c r="Q4" s="28"/>
      <c r="R4" s="29"/>
      <c r="S4" s="29"/>
      <c r="T4" s="29"/>
      <c r="U4" s="29"/>
      <c r="V4" s="29"/>
      <c r="W4" s="29"/>
      <c r="X4" s="29"/>
      <c r="Y4" s="30"/>
      <c r="Z4" s="30"/>
      <c r="AA4" s="30"/>
      <c r="AB4" s="30"/>
    </row>
    <row r="5" spans="1:28" ht="15.75" customHeight="1" x14ac:dyDescent="0.25">
      <c r="D5" s="139" t="s">
        <v>45</v>
      </c>
      <c r="E5" s="139"/>
      <c r="F5" s="139"/>
      <c r="G5" s="139"/>
      <c r="H5" s="139"/>
      <c r="I5" s="139"/>
      <c r="J5" s="139"/>
      <c r="K5" s="139"/>
      <c r="L5" s="33"/>
      <c r="M5" s="33"/>
      <c r="N5" s="33"/>
      <c r="O5" s="33"/>
      <c r="P5" s="33"/>
      <c r="Q5" s="33"/>
      <c r="R5" s="31"/>
      <c r="S5" s="31"/>
      <c r="T5" s="31"/>
      <c r="U5" s="31"/>
      <c r="V5" s="31"/>
      <c r="W5" s="31"/>
      <c r="X5" s="31"/>
      <c r="Y5" s="32"/>
      <c r="Z5" s="32"/>
      <c r="AA5" s="30"/>
      <c r="AB5" s="30"/>
    </row>
    <row r="6" spans="1:28" x14ac:dyDescent="0.25">
      <c r="D6" s="140" t="s">
        <v>229</v>
      </c>
      <c r="E6" s="140"/>
      <c r="F6" s="140"/>
      <c r="G6" s="140"/>
      <c r="H6" s="140"/>
      <c r="I6" s="140"/>
      <c r="J6" s="140"/>
      <c r="K6" s="140"/>
      <c r="M6" s="34"/>
    </row>
    <row r="7" spans="1:28" x14ac:dyDescent="0.25">
      <c r="A7" s="1"/>
      <c r="B7" s="1"/>
      <c r="C7" s="1"/>
      <c r="D7" s="1"/>
      <c r="E7" s="1"/>
      <c r="G7" s="138" t="s">
        <v>0</v>
      </c>
      <c r="H7" s="138"/>
    </row>
    <row r="8" spans="1:28" x14ac:dyDescent="0.25">
      <c r="A8" s="1"/>
      <c r="B8" s="1"/>
      <c r="C8" s="1"/>
      <c r="D8" s="1"/>
      <c r="E8" s="1"/>
      <c r="F8" s="2"/>
      <c r="G8" s="2"/>
      <c r="H8" s="2"/>
    </row>
    <row r="9" spans="1:28" x14ac:dyDescent="0.25">
      <c r="A9" s="3"/>
      <c r="B9" s="3"/>
      <c r="C9" s="3"/>
      <c r="D9" s="3"/>
      <c r="E9" s="3"/>
      <c r="F9" s="4"/>
      <c r="G9" s="4"/>
      <c r="H9" s="4"/>
    </row>
    <row r="10" spans="1:28" x14ac:dyDescent="0.25">
      <c r="A10" s="1"/>
      <c r="B10" s="1"/>
      <c r="C10" s="1"/>
      <c r="D10" s="1"/>
      <c r="E10" s="1"/>
      <c r="F10" s="2"/>
      <c r="G10" s="2"/>
      <c r="H10" s="2"/>
    </row>
    <row r="11" spans="1:28" ht="15" customHeight="1" thickBot="1" x14ac:dyDescent="0.3">
      <c r="A11" s="3"/>
      <c r="B11" s="3"/>
      <c r="C11" s="3"/>
      <c r="D11" s="3"/>
      <c r="E11" s="3"/>
      <c r="F11" s="4"/>
      <c r="G11" s="4"/>
      <c r="H11" s="4"/>
    </row>
    <row r="12" spans="1:28" ht="16.5" thickTop="1" thickBot="1" x14ac:dyDescent="0.3">
      <c r="A12" s="96" t="s">
        <v>1</v>
      </c>
      <c r="B12" s="96" t="s">
        <v>2</v>
      </c>
      <c r="C12" s="96" t="s">
        <v>3</v>
      </c>
      <c r="D12" s="96" t="s">
        <v>4</v>
      </c>
      <c r="E12" s="96" t="s">
        <v>5</v>
      </c>
      <c r="F12" s="96" t="s">
        <v>6</v>
      </c>
      <c r="G12" s="96" t="s">
        <v>7</v>
      </c>
      <c r="H12" s="96" t="s">
        <v>8</v>
      </c>
      <c r="I12" s="96" t="s">
        <v>9</v>
      </c>
      <c r="J12" s="96" t="s">
        <v>10</v>
      </c>
      <c r="K12" s="96" t="s">
        <v>11</v>
      </c>
      <c r="L12" s="96" t="s">
        <v>12</v>
      </c>
      <c r="M12" s="96" t="s">
        <v>13</v>
      </c>
      <c r="N12" s="96" t="s">
        <v>14</v>
      </c>
    </row>
    <row r="13" spans="1:28" ht="16.5" thickTop="1" thickBot="1" x14ac:dyDescent="0.3">
      <c r="A13" s="96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28" ht="16.5" thickTop="1" thickBot="1" x14ac:dyDescent="0.3">
      <c r="A14" s="96" t="s">
        <v>16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7">
        <v>0</v>
      </c>
      <c r="J14" s="6">
        <v>0</v>
      </c>
      <c r="K14" s="6">
        <v>0</v>
      </c>
      <c r="L14" s="6">
        <v>0</v>
      </c>
      <c r="M14" s="6">
        <v>0</v>
      </c>
      <c r="N14" s="6">
        <f>SUM(B14:M14)</f>
        <v>0</v>
      </c>
    </row>
    <row r="15" spans="1:28" ht="16.5" thickTop="1" thickBot="1" x14ac:dyDescent="0.3">
      <c r="A15" s="96" t="s">
        <v>17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7">
        <v>0</v>
      </c>
      <c r="J15" s="6">
        <v>0</v>
      </c>
      <c r="K15" s="6">
        <v>0</v>
      </c>
      <c r="L15" s="6">
        <v>0</v>
      </c>
      <c r="M15" s="6">
        <v>0</v>
      </c>
      <c r="N15" s="6">
        <f>SUM(B15:M15)</f>
        <v>0</v>
      </c>
    </row>
    <row r="16" spans="1:28" ht="16.5" thickTop="1" thickBot="1" x14ac:dyDescent="0.3">
      <c r="A16" s="97"/>
      <c r="B16" s="93"/>
      <c r="C16" s="93"/>
      <c r="D16" s="93"/>
      <c r="E16" s="93"/>
      <c r="F16" s="93"/>
      <c r="G16" s="93"/>
      <c r="H16" s="6"/>
      <c r="I16" s="93"/>
      <c r="J16" s="6"/>
      <c r="K16" s="6"/>
      <c r="L16" s="6"/>
      <c r="M16" s="6"/>
      <c r="N16" s="6">
        <f>SUM(B16:K16)</f>
        <v>0</v>
      </c>
    </row>
    <row r="17" spans="1:14" ht="16.5" thickTop="1" thickBot="1" x14ac:dyDescent="0.3">
      <c r="A17" s="96" t="s">
        <v>18</v>
      </c>
      <c r="B17" s="6"/>
      <c r="C17" s="6"/>
      <c r="D17" s="6"/>
      <c r="E17" s="6"/>
      <c r="F17" s="6"/>
      <c r="G17" s="6"/>
      <c r="H17" s="6"/>
      <c r="I17" s="7"/>
      <c r="J17" s="6"/>
      <c r="K17" s="6"/>
      <c r="L17" s="6"/>
      <c r="M17" s="6"/>
      <c r="N17" s="6"/>
    </row>
    <row r="18" spans="1:14" ht="16.5" thickTop="1" thickBot="1" x14ac:dyDescent="0.3">
      <c r="A18" s="96" t="s">
        <v>16</v>
      </c>
      <c r="B18" s="6">
        <v>727626.64</v>
      </c>
      <c r="C18" s="6">
        <v>763146.73</v>
      </c>
      <c r="D18" s="6">
        <v>763146.73</v>
      </c>
      <c r="E18" s="6">
        <v>846827.11</v>
      </c>
      <c r="F18" s="6">
        <v>809363.21</v>
      </c>
      <c r="G18" s="6">
        <v>405367.79</v>
      </c>
      <c r="H18" s="6">
        <v>1214731</v>
      </c>
      <c r="I18" s="6">
        <v>671028.14</v>
      </c>
      <c r="J18" s="6">
        <v>0</v>
      </c>
      <c r="K18" s="6">
        <v>0</v>
      </c>
      <c r="L18" s="6">
        <v>0</v>
      </c>
      <c r="M18" s="6">
        <v>0</v>
      </c>
      <c r="N18" s="6">
        <f>SUM(B18:M18)</f>
        <v>6201237.3499999996</v>
      </c>
    </row>
    <row r="19" spans="1:14" ht="27" thickTop="1" thickBot="1" x14ac:dyDescent="0.3">
      <c r="A19" s="98" t="s">
        <v>215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f>SUM(B19:M19)</f>
        <v>0</v>
      </c>
    </row>
    <row r="20" spans="1:14" ht="16.5" thickTop="1" thickBot="1" x14ac:dyDescent="0.3">
      <c r="A20" s="96" t="s">
        <v>17</v>
      </c>
      <c r="B20" s="6">
        <v>0</v>
      </c>
      <c r="C20" s="6">
        <v>0</v>
      </c>
      <c r="D20" s="6">
        <v>14406.91</v>
      </c>
      <c r="E20" s="6">
        <v>14406.91</v>
      </c>
      <c r="F20" s="6">
        <v>14406.91</v>
      </c>
      <c r="G20" s="6">
        <v>14406.91</v>
      </c>
      <c r="H20" s="6">
        <v>66287.11</v>
      </c>
      <c r="I20" s="6">
        <v>71545.47</v>
      </c>
      <c r="J20" s="6">
        <v>0</v>
      </c>
      <c r="K20" s="6">
        <v>0</v>
      </c>
      <c r="L20" s="6">
        <v>0</v>
      </c>
      <c r="M20" s="6">
        <v>0</v>
      </c>
      <c r="N20" s="6">
        <f>SUM(B20:M20)</f>
        <v>195460.22</v>
      </c>
    </row>
    <row r="21" spans="1:14" ht="16.5" thickTop="1" thickBot="1" x14ac:dyDescent="0.3">
      <c r="A21" s="96" t="s">
        <v>19</v>
      </c>
      <c r="B21" s="6">
        <f>5992.4+51074.58</f>
        <v>57066.98</v>
      </c>
      <c r="C21" s="6">
        <f>8235.25+49002.89</f>
        <v>57238.14</v>
      </c>
      <c r="D21" s="6">
        <f>12456.87+52728.19</f>
        <v>65185.060000000005</v>
      </c>
      <c r="E21" s="6">
        <f>10794.35+50121.71</f>
        <v>60916.06</v>
      </c>
      <c r="F21" s="6">
        <f>7137.22+52133.72</f>
        <v>59270.94</v>
      </c>
      <c r="G21" s="6">
        <f>10717.09+51313.83</f>
        <v>62030.92</v>
      </c>
      <c r="H21" s="6">
        <f>7594.63+55090.63</f>
        <v>62685.259999999995</v>
      </c>
      <c r="I21" s="6">
        <f>8279.29+55463.56</f>
        <v>63742.85</v>
      </c>
      <c r="J21" s="6">
        <v>0</v>
      </c>
      <c r="K21" s="6">
        <v>0</v>
      </c>
      <c r="L21" s="6">
        <v>0</v>
      </c>
      <c r="M21" s="6">
        <v>0</v>
      </c>
      <c r="N21" s="6">
        <f>SUM(B21:M21)</f>
        <v>488136.20999999996</v>
      </c>
    </row>
    <row r="22" spans="1:14" ht="16.5" thickTop="1" thickBot="1" x14ac:dyDescent="0.3">
      <c r="A22" s="96"/>
      <c r="B22" s="6"/>
      <c r="C22" s="6"/>
      <c r="D22" s="6"/>
      <c r="E22" s="6"/>
      <c r="F22" s="6"/>
      <c r="G22" s="6"/>
      <c r="H22" s="6"/>
      <c r="I22" s="8"/>
      <c r="J22" s="6"/>
      <c r="K22" s="8"/>
      <c r="L22" s="8"/>
      <c r="M22" s="8"/>
      <c r="N22" s="6"/>
    </row>
    <row r="23" spans="1:14" ht="16.5" thickTop="1" thickBot="1" x14ac:dyDescent="0.3">
      <c r="A23" s="96" t="s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</row>
    <row r="24" spans="1:14" ht="16.5" thickTop="1" thickBot="1" x14ac:dyDescent="0.3">
      <c r="A24" s="96" t="s">
        <v>21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 ht="16.5" thickTop="1" thickBot="1" x14ac:dyDescent="0.3">
      <c r="A25" s="96" t="s">
        <v>22</v>
      </c>
      <c r="B25" s="9">
        <f>SUM(B14:B24)</f>
        <v>784693.62</v>
      </c>
      <c r="C25" s="9">
        <f t="shared" ref="C25:J25" si="0">SUM(C14:C24)</f>
        <v>820384.87</v>
      </c>
      <c r="D25" s="9">
        <f t="shared" si="0"/>
        <v>842738.70000000007</v>
      </c>
      <c r="E25" s="9">
        <f t="shared" si="0"/>
        <v>922150.08000000007</v>
      </c>
      <c r="F25" s="9">
        <f t="shared" si="0"/>
        <v>883041.06</v>
      </c>
      <c r="G25" s="9">
        <f t="shared" si="0"/>
        <v>481805.61999999994</v>
      </c>
      <c r="H25" s="9">
        <f t="shared" si="0"/>
        <v>1343703.37</v>
      </c>
      <c r="I25" s="9">
        <f t="shared" si="0"/>
        <v>806316.46</v>
      </c>
      <c r="J25" s="9">
        <f t="shared" si="0"/>
        <v>0</v>
      </c>
      <c r="K25" s="9">
        <f>SUM(K14:K24)</f>
        <v>0</v>
      </c>
      <c r="L25" s="9">
        <f>SUM(L13:L24)</f>
        <v>0</v>
      </c>
      <c r="M25" s="9">
        <f>SUM(M13:M24)</f>
        <v>0</v>
      </c>
      <c r="N25" s="9">
        <f>SUM(N13:N24)</f>
        <v>6884833.7799999993</v>
      </c>
    </row>
    <row r="26" spans="1:14" ht="15.75" thickTop="1" x14ac:dyDescent="0.25">
      <c r="A26" s="1"/>
      <c r="B26" s="1"/>
      <c r="C26" s="10"/>
      <c r="D26" s="2"/>
      <c r="E26" s="11"/>
      <c r="F26" s="2" t="s">
        <v>23</v>
      </c>
      <c r="G26" s="2"/>
      <c r="H26" s="2"/>
    </row>
    <row r="27" spans="1:14" x14ac:dyDescent="0.25">
      <c r="A27" s="141" t="s">
        <v>24</v>
      </c>
      <c r="B27" s="141"/>
      <c r="C27" s="141"/>
      <c r="D27" s="141"/>
      <c r="E27" s="1" t="s">
        <v>25</v>
      </c>
      <c r="F27" s="2"/>
      <c r="G27" s="11"/>
      <c r="H27" s="2"/>
      <c r="I27" s="12"/>
    </row>
    <row r="28" spans="1:14" x14ac:dyDescent="0.25">
      <c r="A28" s="13" t="s">
        <v>26</v>
      </c>
      <c r="B28" s="13"/>
      <c r="C28" s="13"/>
      <c r="D28" s="14"/>
      <c r="E28" s="15"/>
      <c r="F28" s="15"/>
      <c r="G28" s="15"/>
      <c r="H28" s="15"/>
    </row>
    <row r="29" spans="1:14" x14ac:dyDescent="0.25">
      <c r="A29" s="13" t="s">
        <v>27</v>
      </c>
      <c r="B29" s="13"/>
      <c r="C29" s="16">
        <f>I20</f>
        <v>71545.47</v>
      </c>
      <c r="E29" s="15" t="s">
        <v>28</v>
      </c>
      <c r="I29" s="17">
        <f>+C38</f>
        <v>15729529.690000001</v>
      </c>
    </row>
    <row r="30" spans="1:14" x14ac:dyDescent="0.25">
      <c r="A30" s="13" t="s">
        <v>29</v>
      </c>
      <c r="B30" s="13"/>
      <c r="C30" s="16">
        <f>I18</f>
        <v>671028.14</v>
      </c>
      <c r="E30" s="15" t="s">
        <v>30</v>
      </c>
      <c r="I30" s="18">
        <v>821012.9</v>
      </c>
    </row>
    <row r="31" spans="1:14" x14ac:dyDescent="0.25">
      <c r="A31" s="13" t="s">
        <v>31</v>
      </c>
      <c r="B31" s="13"/>
      <c r="C31" s="19">
        <f>I21</f>
        <v>63742.85</v>
      </c>
      <c r="E31" s="15"/>
      <c r="I31" s="17">
        <f>+I29-I30</f>
        <v>14908516.790000001</v>
      </c>
    </row>
    <row r="32" spans="1:14" x14ac:dyDescent="0.25">
      <c r="A32" s="13" t="s">
        <v>28</v>
      </c>
      <c r="B32" s="13"/>
      <c r="C32" s="16">
        <f>SUM(C29:C31)</f>
        <v>806316.46</v>
      </c>
      <c r="E32" s="15" t="s">
        <v>32</v>
      </c>
      <c r="I32" s="18">
        <v>0</v>
      </c>
    </row>
    <row r="33" spans="1:13" x14ac:dyDescent="0.25">
      <c r="A33" s="20" t="s">
        <v>230</v>
      </c>
      <c r="B33" s="15"/>
      <c r="C33" s="19">
        <v>14923213.23</v>
      </c>
      <c r="E33" s="3"/>
      <c r="I33" s="17">
        <f>+I31+I32</f>
        <v>14908516.790000001</v>
      </c>
      <c r="K33" s="12"/>
      <c r="L33" s="12"/>
      <c r="M33" s="12"/>
    </row>
    <row r="34" spans="1:13" x14ac:dyDescent="0.25">
      <c r="A34" s="15" t="s">
        <v>33</v>
      </c>
      <c r="B34" s="15"/>
      <c r="C34" s="16">
        <f>C32+C33</f>
        <v>15729529.690000001</v>
      </c>
      <c r="E34" s="15" t="s">
        <v>34</v>
      </c>
      <c r="I34" s="18">
        <v>0</v>
      </c>
    </row>
    <row r="35" spans="1:13" ht="15.75" thickBot="1" x14ac:dyDescent="0.3">
      <c r="A35" s="21" t="s">
        <v>35</v>
      </c>
      <c r="B35" s="21"/>
      <c r="C35" s="18">
        <v>0</v>
      </c>
      <c r="E35" s="3" t="s">
        <v>36</v>
      </c>
      <c r="I35" s="22">
        <f>+I33-I34</f>
        <v>14908516.790000001</v>
      </c>
    </row>
    <row r="36" spans="1:13" ht="15.75" thickTop="1" x14ac:dyDescent="0.25">
      <c r="A36" s="15" t="s">
        <v>33</v>
      </c>
      <c r="B36" s="15"/>
      <c r="C36" s="16">
        <f>C34-C35</f>
        <v>15729529.690000001</v>
      </c>
    </row>
    <row r="37" spans="1:13" x14ac:dyDescent="0.25">
      <c r="A37" s="21" t="s">
        <v>37</v>
      </c>
      <c r="B37" s="21"/>
      <c r="C37" s="18">
        <v>0</v>
      </c>
    </row>
    <row r="38" spans="1:13" ht="15.75" thickBot="1" x14ac:dyDescent="0.3">
      <c r="A38" s="23" t="s">
        <v>216</v>
      </c>
      <c r="B38" s="23"/>
      <c r="C38" s="24">
        <f>+C36+C37</f>
        <v>15729529.690000001</v>
      </c>
      <c r="I38" s="25"/>
      <c r="J38" s="25"/>
    </row>
    <row r="39" spans="1:13" ht="15.75" thickTop="1" x14ac:dyDescent="0.25">
      <c r="A39" s="21"/>
      <c r="B39" s="21"/>
      <c r="C39" s="21"/>
      <c r="I39" s="25"/>
      <c r="K39" s="12"/>
      <c r="L39" s="12"/>
      <c r="M39" s="12"/>
    </row>
    <row r="40" spans="1:13" x14ac:dyDescent="0.25">
      <c r="A40" s="15"/>
      <c r="C40" s="15"/>
      <c r="D40" s="15"/>
      <c r="I40" s="12"/>
    </row>
    <row r="41" spans="1:13" x14ac:dyDescent="0.25">
      <c r="C41" s="15"/>
    </row>
    <row r="42" spans="1:13" x14ac:dyDescent="0.25">
      <c r="A42" s="137" t="s">
        <v>38</v>
      </c>
      <c r="B42" s="137"/>
      <c r="E42" s="26" t="s">
        <v>39</v>
      </c>
    </row>
    <row r="43" spans="1:13" x14ac:dyDescent="0.25">
      <c r="A43" s="137" t="s">
        <v>40</v>
      </c>
      <c r="B43" s="137"/>
      <c r="E43" s="26" t="s">
        <v>41</v>
      </c>
    </row>
    <row r="44" spans="1:13" x14ac:dyDescent="0.25">
      <c r="C44" s="15"/>
      <c r="G44" s="27"/>
      <c r="H44" s="27"/>
    </row>
    <row r="45" spans="1:13" x14ac:dyDescent="0.25">
      <c r="C45" s="3"/>
      <c r="G45" s="3"/>
      <c r="H45" s="3"/>
    </row>
    <row r="46" spans="1:13" x14ac:dyDescent="0.25">
      <c r="F46" s="3"/>
      <c r="G46" s="3" t="s">
        <v>42</v>
      </c>
      <c r="H46" s="3"/>
    </row>
  </sheetData>
  <mergeCells count="8">
    <mergeCell ref="A42:B42"/>
    <mergeCell ref="A43:B43"/>
    <mergeCell ref="G7:H7"/>
    <mergeCell ref="D3:K3"/>
    <mergeCell ref="D4:K4"/>
    <mergeCell ref="D5:K5"/>
    <mergeCell ref="D6:K6"/>
    <mergeCell ref="A27:D27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00E1-8D85-4719-8889-4636DDE31985}">
  <dimension ref="B3:AI170"/>
  <sheetViews>
    <sheetView tabSelected="1" view="pageBreakPreview" zoomScale="60" zoomScaleNormal="75" workbookViewId="0">
      <selection activeCell="V68" sqref="V68"/>
    </sheetView>
  </sheetViews>
  <sheetFormatPr baseColWidth="10" defaultRowHeight="15" x14ac:dyDescent="0.25"/>
  <cols>
    <col min="1" max="1" width="6.5703125" customWidth="1"/>
    <col min="2" max="4" width="11.42578125" hidden="1" customWidth="1"/>
    <col min="5" max="5" width="8.5703125" hidden="1" customWidth="1"/>
    <col min="6" max="6" width="10.28515625" customWidth="1"/>
    <col min="7" max="7" width="67.28515625" bestFit="1" customWidth="1"/>
    <col min="8" max="8" width="19.42578125" customWidth="1"/>
    <col min="9" max="9" width="18.7109375" customWidth="1"/>
    <col min="10" max="10" width="19.42578125" customWidth="1"/>
    <col min="11" max="11" width="19.5703125" customWidth="1"/>
    <col min="12" max="12" width="19.140625" customWidth="1"/>
    <col min="13" max="20" width="17.85546875" customWidth="1"/>
    <col min="21" max="21" width="16.42578125" customWidth="1"/>
    <col min="22" max="22" width="17.42578125" customWidth="1"/>
    <col min="23" max="25" width="16.42578125" customWidth="1"/>
    <col min="26" max="26" width="18.42578125" customWidth="1"/>
    <col min="27" max="27" width="17.85546875" customWidth="1"/>
    <col min="28" max="28" width="11.7109375" bestFit="1" customWidth="1"/>
    <col min="30" max="30" width="14.140625" customWidth="1"/>
    <col min="31" max="31" width="15" bestFit="1" customWidth="1"/>
  </cols>
  <sheetData>
    <row r="3" spans="6:35" x14ac:dyDescent="0.25">
      <c r="H3" s="28"/>
      <c r="I3" s="139" t="s">
        <v>43</v>
      </c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29"/>
      <c r="Z3" s="29"/>
      <c r="AA3" s="29"/>
      <c r="AB3" s="29"/>
      <c r="AC3" s="29"/>
      <c r="AD3" s="29"/>
      <c r="AE3" s="29"/>
    </row>
    <row r="4" spans="6:35" ht="15.75" x14ac:dyDescent="0.25">
      <c r="F4" s="30"/>
      <c r="G4" s="30"/>
      <c r="H4" s="28"/>
      <c r="I4" s="140" t="s">
        <v>44</v>
      </c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31"/>
      <c r="Z4" s="31"/>
      <c r="AA4" s="31"/>
      <c r="AB4" s="31"/>
      <c r="AC4" s="31"/>
      <c r="AD4" s="31"/>
      <c r="AE4" s="31"/>
      <c r="AF4" s="30"/>
      <c r="AG4" s="30"/>
      <c r="AH4" s="30"/>
      <c r="AI4" s="30"/>
    </row>
    <row r="5" spans="6:35" ht="15.75" x14ac:dyDescent="0.25">
      <c r="F5" s="30"/>
      <c r="G5" s="30"/>
      <c r="H5" s="28"/>
      <c r="I5" s="139" t="s">
        <v>45</v>
      </c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29"/>
      <c r="Z5" s="29"/>
      <c r="AA5" s="29"/>
      <c r="AB5" s="29"/>
      <c r="AC5" s="29"/>
      <c r="AD5" s="29"/>
      <c r="AE5" s="29"/>
      <c r="AF5" s="30"/>
      <c r="AG5" s="30"/>
      <c r="AH5" s="30"/>
      <c r="AI5" s="30"/>
    </row>
    <row r="6" spans="6:35" ht="15.75" x14ac:dyDescent="0.25">
      <c r="F6" s="32"/>
      <c r="G6" s="32"/>
      <c r="H6" s="28"/>
      <c r="I6" s="140" t="s">
        <v>227</v>
      </c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31"/>
      <c r="Z6" s="31"/>
      <c r="AA6" s="31"/>
      <c r="AB6" s="31"/>
      <c r="AC6" s="31"/>
      <c r="AD6" s="31"/>
      <c r="AE6" s="31"/>
      <c r="AF6" s="32"/>
      <c r="AG6" s="32"/>
      <c r="AH6" s="30"/>
      <c r="AI6" s="30"/>
    </row>
    <row r="7" spans="6:35" x14ac:dyDescent="0.25">
      <c r="I7" s="138" t="s">
        <v>0</v>
      </c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</row>
    <row r="8" spans="6:35" ht="15.75" x14ac:dyDescent="0.25"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6:35" ht="15.75" x14ac:dyDescent="0.25"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0"/>
      <c r="AA9" s="30"/>
    </row>
    <row r="10" spans="6:35" ht="15.75" x14ac:dyDescent="0.25"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0"/>
      <c r="AA10" s="30"/>
    </row>
    <row r="11" spans="6:35" ht="16.5" thickBot="1" x14ac:dyDescent="0.3"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0"/>
      <c r="AA11" s="30"/>
    </row>
    <row r="12" spans="6:35" ht="24" customHeight="1" thickBot="1" x14ac:dyDescent="0.3">
      <c r="F12" s="30"/>
      <c r="G12" s="30"/>
      <c r="H12" s="30"/>
      <c r="I12" s="30"/>
      <c r="J12" s="143" t="s">
        <v>46</v>
      </c>
      <c r="K12" s="144"/>
      <c r="L12" s="36"/>
      <c r="M12" s="30"/>
      <c r="N12" s="30"/>
      <c r="O12" s="30"/>
      <c r="P12" s="30"/>
      <c r="Q12" s="30"/>
      <c r="R12" s="30"/>
      <c r="S12" s="30"/>
      <c r="T12" s="30"/>
      <c r="U12" s="143" t="s">
        <v>47</v>
      </c>
      <c r="V12" s="146"/>
      <c r="W12" s="144"/>
      <c r="X12" s="35"/>
      <c r="Y12" s="35"/>
      <c r="Z12" s="30"/>
      <c r="AA12" s="30"/>
    </row>
    <row r="13" spans="6:35" ht="66" customHeight="1" thickBot="1" x14ac:dyDescent="0.3">
      <c r="F13" s="121" t="s">
        <v>48</v>
      </c>
      <c r="G13" s="122" t="s">
        <v>49</v>
      </c>
      <c r="H13" s="122" t="s">
        <v>50</v>
      </c>
      <c r="I13" s="123" t="s">
        <v>51</v>
      </c>
      <c r="J13" s="122" t="s">
        <v>52</v>
      </c>
      <c r="K13" s="122" t="s">
        <v>53</v>
      </c>
      <c r="L13" s="124" t="s">
        <v>54</v>
      </c>
      <c r="M13" s="125" t="s">
        <v>55</v>
      </c>
      <c r="N13" s="135" t="s">
        <v>3</v>
      </c>
      <c r="O13" s="135" t="s">
        <v>4</v>
      </c>
      <c r="P13" s="135" t="s">
        <v>222</v>
      </c>
      <c r="Q13" s="135" t="s">
        <v>224</v>
      </c>
      <c r="R13" s="135" t="s">
        <v>7</v>
      </c>
      <c r="S13" s="135" t="s">
        <v>8</v>
      </c>
      <c r="T13" s="135" t="s">
        <v>9</v>
      </c>
      <c r="U13" s="126">
        <v>0.2</v>
      </c>
      <c r="V13" s="127">
        <v>0.3</v>
      </c>
      <c r="W13" s="128">
        <v>0.5</v>
      </c>
      <c r="X13" s="129" t="s">
        <v>217</v>
      </c>
      <c r="Y13" s="130" t="s">
        <v>218</v>
      </c>
      <c r="Z13" s="125" t="s">
        <v>56</v>
      </c>
      <c r="AA13" s="131" t="s">
        <v>57</v>
      </c>
    </row>
    <row r="14" spans="6:35" ht="15.75" x14ac:dyDescent="0.25">
      <c r="F14" s="99"/>
      <c r="G14" s="100" t="s">
        <v>58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101"/>
    </row>
    <row r="15" spans="6:35" ht="15.75" x14ac:dyDescent="0.25">
      <c r="F15" s="38"/>
      <c r="G15" s="39" t="s">
        <v>59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1"/>
      <c r="AD15" s="12"/>
    </row>
    <row r="16" spans="6:35" ht="15.75" x14ac:dyDescent="0.25">
      <c r="F16" s="42" t="s">
        <v>60</v>
      </c>
      <c r="G16" s="43" t="s">
        <v>61</v>
      </c>
      <c r="H16" s="40">
        <f>529882.55+150000+53673.39</f>
        <v>733555.94000000006</v>
      </c>
      <c r="I16" s="40"/>
      <c r="J16" s="40">
        <v>40444.06</v>
      </c>
      <c r="K16" s="40"/>
      <c r="L16" s="40">
        <f>H16+I16+J16-K16</f>
        <v>774000</v>
      </c>
      <c r="M16" s="40">
        <v>64500</v>
      </c>
      <c r="N16" s="40">
        <v>64500</v>
      </c>
      <c r="O16" s="40">
        <v>64500</v>
      </c>
      <c r="P16" s="40">
        <v>64500</v>
      </c>
      <c r="Q16" s="40">
        <v>64500</v>
      </c>
      <c r="R16" s="40">
        <v>64500</v>
      </c>
      <c r="S16" s="40">
        <v>64500</v>
      </c>
      <c r="T16" s="40">
        <v>64500</v>
      </c>
      <c r="U16" s="40">
        <f>54000+54000+54000+54000+54000+64500+64500+64500</f>
        <v>463500</v>
      </c>
      <c r="V16" s="40"/>
      <c r="W16" s="40">
        <f>10500+10500+10500+10500+10500</f>
        <v>52500</v>
      </c>
      <c r="X16" s="40"/>
      <c r="Y16" s="40"/>
      <c r="Z16" s="40">
        <f>SUM(M16:T16)</f>
        <v>516000</v>
      </c>
      <c r="AA16" s="41">
        <f>+L16-Z16</f>
        <v>258000</v>
      </c>
      <c r="AD16" s="12"/>
    </row>
    <row r="17" spans="6:30" ht="15.75" x14ac:dyDescent="0.25">
      <c r="F17" s="42" t="s">
        <v>62</v>
      </c>
      <c r="G17" s="43" t="s">
        <v>63</v>
      </c>
      <c r="H17" s="40">
        <v>1700</v>
      </c>
      <c r="I17" s="40"/>
      <c r="J17" s="40">
        <v>2040</v>
      </c>
      <c r="K17" s="40"/>
      <c r="L17" s="40">
        <f>H17+I17+J17-K17</f>
        <v>3740</v>
      </c>
      <c r="M17" s="40">
        <v>220</v>
      </c>
      <c r="N17" s="40">
        <v>220</v>
      </c>
      <c r="O17" s="40">
        <v>220</v>
      </c>
      <c r="P17" s="40">
        <v>220</v>
      </c>
      <c r="Q17" s="40">
        <v>220</v>
      </c>
      <c r="R17" s="40">
        <v>220</v>
      </c>
      <c r="S17" s="40">
        <v>220</v>
      </c>
      <c r="T17" s="40">
        <v>220</v>
      </c>
      <c r="U17" s="40">
        <f>220+220+220+220+220+220+220+220</f>
        <v>1760</v>
      </c>
      <c r="V17" s="40"/>
      <c r="W17" s="40"/>
      <c r="X17" s="40"/>
      <c r="Y17" s="40"/>
      <c r="Z17" s="40">
        <f t="shared" ref="Z17:Z64" si="0">SUM(M17:T17)</f>
        <v>1760</v>
      </c>
      <c r="AA17" s="41">
        <f>+L17-Z17</f>
        <v>1980</v>
      </c>
      <c r="AD17" s="12"/>
    </row>
    <row r="18" spans="6:30" ht="15.75" x14ac:dyDescent="0.25">
      <c r="F18" s="42" t="s">
        <v>64</v>
      </c>
      <c r="G18" s="43" t="s">
        <v>65</v>
      </c>
      <c r="H18" s="40">
        <v>4500</v>
      </c>
      <c r="I18" s="40"/>
      <c r="J18" s="40"/>
      <c r="K18" s="40"/>
      <c r="L18" s="40">
        <f t="shared" ref="L18:L64" si="1">H18+I18+J18-K18</f>
        <v>4500</v>
      </c>
      <c r="M18" s="40">
        <v>375</v>
      </c>
      <c r="N18" s="40">
        <v>375</v>
      </c>
      <c r="O18" s="40">
        <v>375</v>
      </c>
      <c r="P18" s="40">
        <v>375</v>
      </c>
      <c r="Q18" s="40">
        <v>375</v>
      </c>
      <c r="R18" s="40">
        <v>375</v>
      </c>
      <c r="S18" s="40">
        <v>375</v>
      </c>
      <c r="T18" s="40">
        <v>375</v>
      </c>
      <c r="U18" s="40">
        <f>375+375+375+375+375+375+375+375</f>
        <v>3000</v>
      </c>
      <c r="V18" s="40"/>
      <c r="W18" s="40"/>
      <c r="X18" s="40"/>
      <c r="Y18" s="40"/>
      <c r="Z18" s="40">
        <f t="shared" si="0"/>
        <v>3000</v>
      </c>
      <c r="AA18" s="41">
        <f>+L18-Z18</f>
        <v>1500</v>
      </c>
      <c r="AD18" s="12"/>
    </row>
    <row r="19" spans="6:30" ht="15.75" x14ac:dyDescent="0.25">
      <c r="F19" s="42" t="s">
        <v>66</v>
      </c>
      <c r="G19" s="44" t="s">
        <v>67</v>
      </c>
      <c r="H19" s="40">
        <f>12000+2500</f>
        <v>14500</v>
      </c>
      <c r="I19" s="40"/>
      <c r="J19" s="40">
        <v>9500</v>
      </c>
      <c r="K19" s="40"/>
      <c r="L19" s="40">
        <f t="shared" si="1"/>
        <v>24000</v>
      </c>
      <c r="M19" s="40">
        <v>2000</v>
      </c>
      <c r="N19" s="40">
        <v>2000</v>
      </c>
      <c r="O19" s="40">
        <v>2000</v>
      </c>
      <c r="P19" s="40">
        <v>2000</v>
      </c>
      <c r="Q19" s="40">
        <v>2000</v>
      </c>
      <c r="R19" s="40">
        <v>2000</v>
      </c>
      <c r="S19" s="40">
        <v>2000</v>
      </c>
      <c r="T19" s="40">
        <v>2000</v>
      </c>
      <c r="U19" s="40">
        <f>1750+1750+1750+1750+1750+2000+2000+2000</f>
        <v>14750</v>
      </c>
      <c r="V19" s="40"/>
      <c r="W19" s="40">
        <f>250+250+250+250+250</f>
        <v>1250</v>
      </c>
      <c r="X19" s="40"/>
      <c r="Y19" s="40"/>
      <c r="Z19" s="40">
        <f t="shared" si="0"/>
        <v>16000</v>
      </c>
      <c r="AA19" s="41">
        <f>+L19-Z19</f>
        <v>8000</v>
      </c>
      <c r="AD19" s="12"/>
    </row>
    <row r="20" spans="6:30" ht="15.75" x14ac:dyDescent="0.25">
      <c r="F20" s="42"/>
      <c r="G20" s="39" t="s">
        <v>68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50"/>
      <c r="V20" s="50"/>
      <c r="W20" s="50"/>
      <c r="X20" s="50"/>
      <c r="Y20" s="50"/>
      <c r="Z20" s="40"/>
      <c r="AA20" s="41"/>
      <c r="AD20" s="12"/>
    </row>
    <row r="21" spans="6:30" ht="15.75" x14ac:dyDescent="0.25">
      <c r="F21" s="42" t="s">
        <v>210</v>
      </c>
      <c r="G21" s="43" t="s">
        <v>211</v>
      </c>
      <c r="H21" s="40"/>
      <c r="I21" s="40"/>
      <c r="J21" s="40">
        <v>20000</v>
      </c>
      <c r="K21" s="40"/>
      <c r="L21" s="40">
        <f>J21</f>
        <v>20000</v>
      </c>
      <c r="M21" s="40">
        <v>0</v>
      </c>
      <c r="N21" s="40">
        <v>0</v>
      </c>
      <c r="O21" s="40">
        <v>0</v>
      </c>
      <c r="P21" s="40">
        <v>8000</v>
      </c>
      <c r="Q21" s="40">
        <v>0</v>
      </c>
      <c r="R21" s="40">
        <v>0</v>
      </c>
      <c r="S21" s="40">
        <v>0</v>
      </c>
      <c r="T21" s="40">
        <v>0</v>
      </c>
      <c r="U21" s="50"/>
      <c r="V21" s="50">
        <v>8000</v>
      </c>
      <c r="W21" s="50"/>
      <c r="X21" s="50"/>
      <c r="Y21" s="50"/>
      <c r="Z21" s="40">
        <f t="shared" si="0"/>
        <v>8000</v>
      </c>
      <c r="AA21" s="41">
        <f t="shared" ref="AA21:AA30" si="2">+L21-Z21</f>
        <v>12000</v>
      </c>
      <c r="AD21" s="12"/>
    </row>
    <row r="22" spans="6:30" ht="15.75" x14ac:dyDescent="0.25">
      <c r="F22" s="42" t="s">
        <v>69</v>
      </c>
      <c r="G22" s="43" t="s">
        <v>70</v>
      </c>
      <c r="H22" s="40">
        <f>561195.5+257267.46</f>
        <v>818462.96</v>
      </c>
      <c r="I22" s="40"/>
      <c r="J22" s="40"/>
      <c r="K22" s="40"/>
      <c r="L22" s="40">
        <f t="shared" si="1"/>
        <v>818462.96</v>
      </c>
      <c r="M22" s="40">
        <v>50300</v>
      </c>
      <c r="N22" s="40">
        <v>67800</v>
      </c>
      <c r="O22" s="40">
        <v>65050</v>
      </c>
      <c r="P22" s="40">
        <v>75300</v>
      </c>
      <c r="Q22" s="40">
        <v>63300</v>
      </c>
      <c r="R22" s="40">
        <v>66800</v>
      </c>
      <c r="S22" s="40">
        <v>70300</v>
      </c>
      <c r="T22" s="40">
        <v>70300</v>
      </c>
      <c r="U22" s="50">
        <f>2800+2800+2800+2800+2800+2800+2800+2800</f>
        <v>22400</v>
      </c>
      <c r="V22" s="50">
        <f>2160.72+7963.04+5000.04+5000.04+5000.04+5000.04+5000.04+5000.04</f>
        <v>40124</v>
      </c>
      <c r="W22" s="50">
        <f>45339.28+57036.96+57249.96+55499.96+55499.96+58999.96+62499.96+62499.96</f>
        <v>454626.00000000006</v>
      </c>
      <c r="X22" s="50"/>
      <c r="Y22" s="50">
        <v>12000</v>
      </c>
      <c r="Z22" s="40">
        <f t="shared" si="0"/>
        <v>529150</v>
      </c>
      <c r="AA22" s="45">
        <f t="shared" si="2"/>
        <v>289312.95999999996</v>
      </c>
      <c r="AD22" s="12"/>
    </row>
    <row r="23" spans="6:30" s="30" customFormat="1" ht="15.75" x14ac:dyDescent="0.25">
      <c r="F23" s="42" t="s">
        <v>71</v>
      </c>
      <c r="G23" s="43" t="s">
        <v>72</v>
      </c>
      <c r="H23" s="40">
        <v>75130.789999999994</v>
      </c>
      <c r="I23" s="40"/>
      <c r="J23" s="40"/>
      <c r="K23" s="43"/>
      <c r="L23" s="40">
        <f t="shared" si="1"/>
        <v>75130.789999999994</v>
      </c>
      <c r="M23" s="46">
        <v>6135.25</v>
      </c>
      <c r="N23" s="46">
        <v>7202.25</v>
      </c>
      <c r="O23" s="46">
        <v>7202.25</v>
      </c>
      <c r="P23" s="46">
        <v>7202.25</v>
      </c>
      <c r="Q23" s="46">
        <v>7202.25</v>
      </c>
      <c r="R23" s="46">
        <v>7202.25</v>
      </c>
      <c r="S23" s="46">
        <v>7202.25</v>
      </c>
      <c r="T23" s="46">
        <v>7202.25</v>
      </c>
      <c r="U23" s="87">
        <f>5068.25+6081.9+6081.9+6081.9+6081.9+7202.25+7202.25+7202.25</f>
        <v>51002.6</v>
      </c>
      <c r="V23" s="87"/>
      <c r="W23" s="88">
        <f>1067+1120.35+1120.35+1120.35+1120.35</f>
        <v>5548.4</v>
      </c>
      <c r="X23" s="88"/>
      <c r="Y23" s="89"/>
      <c r="Z23" s="40">
        <f t="shared" si="0"/>
        <v>56551</v>
      </c>
      <c r="AA23" s="45">
        <f t="shared" si="2"/>
        <v>18579.789999999994</v>
      </c>
      <c r="AC23" s="48"/>
      <c r="AD23" s="12"/>
    </row>
    <row r="24" spans="6:30" s="30" customFormat="1" ht="15.75" x14ac:dyDescent="0.25">
      <c r="F24" s="42" t="s">
        <v>73</v>
      </c>
      <c r="G24" s="43" t="s">
        <v>74</v>
      </c>
      <c r="H24" s="40">
        <v>1000</v>
      </c>
      <c r="I24" s="40"/>
      <c r="J24" s="40"/>
      <c r="K24" s="43"/>
      <c r="L24" s="40">
        <f t="shared" si="1"/>
        <v>1000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89"/>
      <c r="V24" s="88"/>
      <c r="W24" s="89"/>
      <c r="X24" s="89"/>
      <c r="Y24" s="89"/>
      <c r="Z24" s="40">
        <f t="shared" si="0"/>
        <v>0</v>
      </c>
      <c r="AA24" s="45">
        <f t="shared" si="2"/>
        <v>1000</v>
      </c>
      <c r="AD24" s="12"/>
    </row>
    <row r="25" spans="6:30" ht="15.75" x14ac:dyDescent="0.25">
      <c r="F25" s="42" t="s">
        <v>75</v>
      </c>
      <c r="G25" s="43" t="s">
        <v>76</v>
      </c>
      <c r="H25" s="40">
        <f>206140+35000</f>
        <v>241140</v>
      </c>
      <c r="I25" s="40"/>
      <c r="J25" s="40"/>
      <c r="K25" s="40"/>
      <c r="L25" s="40">
        <f t="shared" si="1"/>
        <v>241140</v>
      </c>
      <c r="M25" s="40">
        <v>0</v>
      </c>
      <c r="N25" s="40">
        <v>23400</v>
      </c>
      <c r="O25" s="40">
        <v>16200</v>
      </c>
      <c r="P25" s="40">
        <v>23400</v>
      </c>
      <c r="Q25" s="40">
        <v>16200</v>
      </c>
      <c r="R25" s="40">
        <v>16200</v>
      </c>
      <c r="S25" s="40">
        <v>18000</v>
      </c>
      <c r="T25" s="40">
        <v>18000</v>
      </c>
      <c r="U25" s="50"/>
      <c r="V25" s="50"/>
      <c r="W25" s="50"/>
      <c r="X25" s="50"/>
      <c r="Y25" s="50">
        <f>23400+O25+P25+Q25+R25+S25+T25</f>
        <v>131400</v>
      </c>
      <c r="Z25" s="40">
        <f t="shared" si="0"/>
        <v>131400</v>
      </c>
      <c r="AA25" s="41">
        <f t="shared" si="2"/>
        <v>109740</v>
      </c>
      <c r="AD25" s="12"/>
    </row>
    <row r="26" spans="6:30" ht="15.75" x14ac:dyDescent="0.25">
      <c r="F26" s="42" t="s">
        <v>77</v>
      </c>
      <c r="G26" s="43" t="s">
        <v>78</v>
      </c>
      <c r="H26" s="40">
        <f>112000+35000</f>
        <v>147000</v>
      </c>
      <c r="I26" s="40"/>
      <c r="J26" s="40"/>
      <c r="K26" s="40"/>
      <c r="L26" s="40">
        <f t="shared" si="1"/>
        <v>147000</v>
      </c>
      <c r="M26" s="40">
        <v>0</v>
      </c>
      <c r="N26" s="40">
        <v>15000</v>
      </c>
      <c r="O26" s="40">
        <v>15000</v>
      </c>
      <c r="P26" s="40">
        <v>15000</v>
      </c>
      <c r="Q26" s="40">
        <v>15000</v>
      </c>
      <c r="R26" s="40">
        <v>15000</v>
      </c>
      <c r="S26" s="40">
        <v>15000</v>
      </c>
      <c r="T26" s="40">
        <v>15000</v>
      </c>
      <c r="U26" s="50"/>
      <c r="V26" s="50"/>
      <c r="W26" s="50"/>
      <c r="X26" s="50"/>
      <c r="Y26" s="50">
        <f>15000+O26+P26+Q26+R26+S26+T26</f>
        <v>105000</v>
      </c>
      <c r="Z26" s="40">
        <f t="shared" si="0"/>
        <v>105000</v>
      </c>
      <c r="AA26" s="41">
        <f t="shared" si="2"/>
        <v>42000</v>
      </c>
      <c r="AD26" s="12"/>
    </row>
    <row r="27" spans="6:30" ht="15.75" x14ac:dyDescent="0.25">
      <c r="F27" s="42" t="s">
        <v>79</v>
      </c>
      <c r="G27" s="43" t="s">
        <v>80</v>
      </c>
      <c r="H27" s="40">
        <f>34000+20000</f>
        <v>54000</v>
      </c>
      <c r="I27" s="40"/>
      <c r="J27" s="40"/>
      <c r="K27" s="40"/>
      <c r="L27" s="40">
        <f t="shared" si="1"/>
        <v>54000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50"/>
      <c r="V27" s="50"/>
      <c r="W27" s="50"/>
      <c r="X27" s="50"/>
      <c r="Y27" s="50"/>
      <c r="Z27" s="40">
        <f t="shared" si="0"/>
        <v>0</v>
      </c>
      <c r="AA27" s="41">
        <f t="shared" si="2"/>
        <v>54000</v>
      </c>
      <c r="AD27" s="12"/>
    </row>
    <row r="28" spans="6:30" ht="15.75" x14ac:dyDescent="0.25">
      <c r="F28" s="42" t="s">
        <v>81</v>
      </c>
      <c r="G28" s="43" t="s">
        <v>82</v>
      </c>
      <c r="H28" s="40">
        <f>32000+20000</f>
        <v>52000</v>
      </c>
      <c r="I28" s="40"/>
      <c r="J28" s="40">
        <v>10000</v>
      </c>
      <c r="K28" s="40"/>
      <c r="L28" s="40">
        <f t="shared" si="1"/>
        <v>62000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61666.67</v>
      </c>
      <c r="T28" s="40">
        <v>0</v>
      </c>
      <c r="U28" s="40">
        <v>61666.67</v>
      </c>
      <c r="V28" s="50"/>
      <c r="W28" s="50"/>
      <c r="X28" s="50"/>
      <c r="Y28" s="50"/>
      <c r="Z28" s="40">
        <f t="shared" si="0"/>
        <v>61666.67</v>
      </c>
      <c r="AA28" s="41">
        <f t="shared" si="2"/>
        <v>333.33000000000175</v>
      </c>
      <c r="AD28" s="12"/>
    </row>
    <row r="29" spans="6:30" ht="15.75" x14ac:dyDescent="0.25">
      <c r="F29" s="42" t="s">
        <v>83</v>
      </c>
      <c r="G29" s="43" t="s">
        <v>84</v>
      </c>
      <c r="H29" s="40">
        <v>3500</v>
      </c>
      <c r="I29" s="40"/>
      <c r="J29" s="40"/>
      <c r="K29" s="40"/>
      <c r="L29" s="40">
        <f t="shared" si="1"/>
        <v>3500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50"/>
      <c r="V29" s="50"/>
      <c r="W29" s="50"/>
      <c r="X29" s="50"/>
      <c r="Y29" s="50"/>
      <c r="Z29" s="40">
        <f t="shared" si="0"/>
        <v>0</v>
      </c>
      <c r="AA29" s="41">
        <f t="shared" si="2"/>
        <v>3500</v>
      </c>
      <c r="AC29" s="12"/>
      <c r="AD29" s="12"/>
    </row>
    <row r="30" spans="6:30" ht="15.75" x14ac:dyDescent="0.25">
      <c r="F30" s="42" t="s">
        <v>85</v>
      </c>
      <c r="G30" s="43" t="s">
        <v>86</v>
      </c>
      <c r="H30" s="40">
        <v>2500</v>
      </c>
      <c r="I30" s="40"/>
      <c r="J30" s="40">
        <v>50000</v>
      </c>
      <c r="K30" s="40"/>
      <c r="L30" s="40">
        <f t="shared" si="1"/>
        <v>52500</v>
      </c>
      <c r="M30" s="40">
        <v>0</v>
      </c>
      <c r="N30" s="40">
        <v>0</v>
      </c>
      <c r="O30" s="40">
        <v>0</v>
      </c>
      <c r="P30" s="40">
        <v>23500</v>
      </c>
      <c r="Q30" s="40">
        <v>0</v>
      </c>
      <c r="R30" s="40">
        <v>0</v>
      </c>
      <c r="S30" s="40">
        <v>0</v>
      </c>
      <c r="T30" s="40">
        <v>0</v>
      </c>
      <c r="U30" s="50"/>
      <c r="V30" s="50"/>
      <c r="W30" s="50"/>
      <c r="X30" s="50"/>
      <c r="Y30" s="50">
        <v>23500</v>
      </c>
      <c r="Z30" s="40">
        <f t="shared" si="0"/>
        <v>23500</v>
      </c>
      <c r="AA30" s="41">
        <f t="shared" si="2"/>
        <v>29000</v>
      </c>
      <c r="AD30" s="12"/>
    </row>
    <row r="31" spans="6:30" ht="15.75" x14ac:dyDescent="0.25">
      <c r="F31" s="42"/>
      <c r="G31" s="39" t="s">
        <v>87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1"/>
      <c r="AD31" s="12"/>
    </row>
    <row r="32" spans="6:30" ht="15.75" x14ac:dyDescent="0.25">
      <c r="F32" s="42"/>
      <c r="G32" s="39" t="s">
        <v>88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1"/>
      <c r="AD32" s="12"/>
    </row>
    <row r="33" spans="6:30" ht="15.75" x14ac:dyDescent="0.25">
      <c r="F33" s="42">
        <v>111</v>
      </c>
      <c r="G33" s="43" t="s">
        <v>89</v>
      </c>
      <c r="H33" s="40">
        <v>1600</v>
      </c>
      <c r="I33" s="40"/>
      <c r="J33" s="40"/>
      <c r="K33" s="40"/>
      <c r="L33" s="40">
        <f>H33+I33+J33-K33</f>
        <v>1600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>
        <v>0</v>
      </c>
      <c r="U33" s="40"/>
      <c r="V33" s="40"/>
      <c r="W33" s="40"/>
      <c r="X33" s="40"/>
      <c r="Y33" s="40"/>
      <c r="Z33" s="40">
        <f t="shared" si="0"/>
        <v>0</v>
      </c>
      <c r="AA33" s="41">
        <f>+L33-Z33</f>
        <v>1600</v>
      </c>
      <c r="AD33" s="12"/>
    </row>
    <row r="34" spans="6:30" ht="15.75" x14ac:dyDescent="0.25">
      <c r="F34" s="42" t="s">
        <v>90</v>
      </c>
      <c r="G34" s="43" t="s">
        <v>91</v>
      </c>
      <c r="H34" s="40">
        <v>54048.54</v>
      </c>
      <c r="I34" s="40"/>
      <c r="J34" s="40"/>
      <c r="K34" s="40"/>
      <c r="L34" s="40">
        <f t="shared" si="1"/>
        <v>54048.54</v>
      </c>
      <c r="M34" s="40">
        <v>2192.85</v>
      </c>
      <c r="N34" s="40">
        <v>6337</v>
      </c>
      <c r="O34" s="40">
        <v>4073</v>
      </c>
      <c r="P34" s="40">
        <v>8868.1</v>
      </c>
      <c r="Q34" s="40">
        <v>4247.01</v>
      </c>
      <c r="R34" s="40">
        <v>3882</v>
      </c>
      <c r="S34" s="40">
        <v>4822</v>
      </c>
      <c r="T34" s="40">
        <v>4002</v>
      </c>
      <c r="U34" s="40">
        <f>2033.85+4603+3914+3012.85+2513.01+2307+3247+2427</f>
        <v>24057.71</v>
      </c>
      <c r="V34" s="40">
        <v>4121.25</v>
      </c>
      <c r="W34" s="40">
        <f>159+1575+159+159+1734+1734+1575+1575+1575</f>
        <v>10245</v>
      </c>
      <c r="X34" s="40"/>
      <c r="Z34" s="40">
        <f t="shared" si="0"/>
        <v>38423.96</v>
      </c>
      <c r="AA34" s="41">
        <f>+L34-Z34</f>
        <v>15624.580000000002</v>
      </c>
      <c r="AD34" s="12"/>
    </row>
    <row r="35" spans="6:30" ht="15.75" x14ac:dyDescent="0.25">
      <c r="F35" s="42">
        <v>114</v>
      </c>
      <c r="G35" s="43" t="s">
        <v>92</v>
      </c>
      <c r="H35" s="40">
        <v>1000</v>
      </c>
      <c r="I35" s="40"/>
      <c r="J35" s="40"/>
      <c r="K35" s="40"/>
      <c r="L35" s="40">
        <f t="shared" si="1"/>
        <v>1000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/>
      <c r="V35" s="40"/>
      <c r="W35" s="40"/>
      <c r="X35" s="40"/>
      <c r="Y35" s="40"/>
      <c r="Z35" s="40">
        <f t="shared" si="0"/>
        <v>0</v>
      </c>
      <c r="AA35" s="41">
        <f>+L35-Z35</f>
        <v>1000</v>
      </c>
      <c r="AD35" s="12"/>
    </row>
    <row r="36" spans="6:30" ht="15.75" x14ac:dyDescent="0.25">
      <c r="F36" s="42">
        <v>116</v>
      </c>
      <c r="G36" s="43" t="s">
        <v>93</v>
      </c>
      <c r="H36" s="40">
        <v>1600</v>
      </c>
      <c r="I36" s="40"/>
      <c r="J36" s="40"/>
      <c r="K36" s="40"/>
      <c r="L36" s="40">
        <f t="shared" si="1"/>
        <v>1600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/>
      <c r="V36" s="40"/>
      <c r="W36" s="40"/>
      <c r="X36" s="40"/>
      <c r="Y36" s="40"/>
      <c r="Z36" s="40">
        <f t="shared" si="0"/>
        <v>0</v>
      </c>
      <c r="AA36" s="41">
        <f>+L36-Z36</f>
        <v>1600</v>
      </c>
      <c r="AD36" s="12"/>
    </row>
    <row r="37" spans="6:30" ht="15.75" x14ac:dyDescent="0.25">
      <c r="F37" s="42"/>
      <c r="G37" s="39" t="s">
        <v>94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1"/>
      <c r="AD37" s="12"/>
    </row>
    <row r="38" spans="6:30" ht="15.75" x14ac:dyDescent="0.25">
      <c r="F38" s="42"/>
      <c r="G38" s="39" t="s">
        <v>95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1"/>
      <c r="AD38" s="12"/>
    </row>
    <row r="39" spans="6:30" ht="15.75" x14ac:dyDescent="0.25">
      <c r="F39" s="42">
        <v>121</v>
      </c>
      <c r="G39" s="43" t="s">
        <v>96</v>
      </c>
      <c r="H39" s="40">
        <v>30000</v>
      </c>
      <c r="I39" s="40"/>
      <c r="J39" s="40"/>
      <c r="K39" s="40"/>
      <c r="L39" s="40">
        <f t="shared" si="1"/>
        <v>30000</v>
      </c>
      <c r="M39" s="40">
        <v>0</v>
      </c>
      <c r="N39" s="40">
        <v>0</v>
      </c>
      <c r="O39" s="40">
        <v>0</v>
      </c>
      <c r="P39" s="40">
        <v>280</v>
      </c>
      <c r="Q39" s="40">
        <v>375</v>
      </c>
      <c r="R39" s="40">
        <v>160</v>
      </c>
      <c r="S39" s="40">
        <v>0</v>
      </c>
      <c r="T39" s="40">
        <v>0</v>
      </c>
      <c r="U39" s="40"/>
      <c r="V39" s="40">
        <v>160</v>
      </c>
      <c r="W39" s="40">
        <f>280+375</f>
        <v>655</v>
      </c>
      <c r="X39" s="40"/>
      <c r="Y39" s="40"/>
      <c r="Z39" s="40">
        <f t="shared" si="0"/>
        <v>815</v>
      </c>
      <c r="AA39" s="41">
        <f>+L39-Z39</f>
        <v>29185</v>
      </c>
      <c r="AD39" s="12"/>
    </row>
    <row r="40" spans="6:30" ht="15.75" x14ac:dyDescent="0.25">
      <c r="F40" s="42">
        <v>122</v>
      </c>
      <c r="G40" s="49" t="s">
        <v>97</v>
      </c>
      <c r="H40" s="40">
        <v>3000</v>
      </c>
      <c r="I40" s="40"/>
      <c r="J40" s="40"/>
      <c r="K40" s="40"/>
      <c r="L40" s="40">
        <f t="shared" si="1"/>
        <v>3000</v>
      </c>
      <c r="M40" s="40">
        <v>0</v>
      </c>
      <c r="N40" s="40">
        <v>2060.1999999999998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f>2060.2</f>
        <v>2060.1999999999998</v>
      </c>
      <c r="V40" s="40"/>
      <c r="W40" s="40"/>
      <c r="X40" s="40"/>
      <c r="Y40" s="40"/>
      <c r="Z40" s="40">
        <f t="shared" si="0"/>
        <v>2060.1999999999998</v>
      </c>
      <c r="AA40" s="41">
        <f>+L40-Z40</f>
        <v>939.80000000000018</v>
      </c>
      <c r="AD40" s="12"/>
    </row>
    <row r="41" spans="6:30" ht="15.75" x14ac:dyDescent="0.25">
      <c r="F41" s="42"/>
      <c r="G41" s="39" t="s">
        <v>98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1"/>
      <c r="AD41" s="12"/>
    </row>
    <row r="42" spans="6:30" ht="15.75" x14ac:dyDescent="0.25">
      <c r="F42" s="42" t="s">
        <v>99</v>
      </c>
      <c r="G42" s="43" t="s">
        <v>100</v>
      </c>
      <c r="H42" s="40">
        <f>967104.45+535000-100000+75000+308720.96+465000</f>
        <v>2250825.41</v>
      </c>
      <c r="I42" s="40"/>
      <c r="J42" s="40"/>
      <c r="K42" s="40"/>
      <c r="L42" s="40">
        <f t="shared" si="1"/>
        <v>2250825.41</v>
      </c>
      <c r="M42" s="40">
        <v>10990</v>
      </c>
      <c r="N42" s="40">
        <v>28155</v>
      </c>
      <c r="O42" s="40">
        <v>87425</v>
      </c>
      <c r="P42" s="40">
        <v>138700</v>
      </c>
      <c r="Q42" s="40">
        <v>111575</v>
      </c>
      <c r="R42" s="40">
        <v>322195</v>
      </c>
      <c r="S42" s="40">
        <v>81180.600000000006</v>
      </c>
      <c r="T42" s="40">
        <v>121173.5</v>
      </c>
      <c r="U42" s="50">
        <f>4570</f>
        <v>4570</v>
      </c>
      <c r="V42" s="51">
        <f>10990+28155+41600+34020+70119+182190+41505.6-30420.6+39678-41600</f>
        <v>376237</v>
      </c>
      <c r="W42" s="40">
        <f>45825+104680+41456+135435+39675+81495.5</f>
        <v>448566.5</v>
      </c>
      <c r="X42" s="40">
        <f>30420.6+41600</f>
        <v>72020.600000000006</v>
      </c>
      <c r="Y42" s="40"/>
      <c r="Z42" s="40">
        <f t="shared" si="0"/>
        <v>901394.1</v>
      </c>
      <c r="AA42" s="41">
        <f>+L42-Z42</f>
        <v>1349431.31</v>
      </c>
      <c r="AC42" s="12"/>
      <c r="AD42" s="12"/>
    </row>
    <row r="43" spans="6:30" ht="15.75" x14ac:dyDescent="0.25">
      <c r="F43" s="42" t="s">
        <v>101</v>
      </c>
      <c r="G43" s="43" t="s">
        <v>102</v>
      </c>
      <c r="H43" s="40">
        <v>5000</v>
      </c>
      <c r="I43" s="40"/>
      <c r="J43" s="40">
        <v>30000</v>
      </c>
      <c r="K43" s="40"/>
      <c r="L43" s="40">
        <f t="shared" si="1"/>
        <v>35000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10914</v>
      </c>
      <c r="T43" s="40">
        <v>0</v>
      </c>
      <c r="U43" s="40"/>
      <c r="V43" s="40"/>
      <c r="W43" s="40">
        <f>S43</f>
        <v>10914</v>
      </c>
      <c r="X43" s="40"/>
      <c r="Y43" s="40"/>
      <c r="Z43" s="40">
        <f t="shared" si="0"/>
        <v>10914</v>
      </c>
      <c r="AA43" s="41">
        <f>+L43-Z43</f>
        <v>24086</v>
      </c>
      <c r="AC43" s="12"/>
      <c r="AD43" s="12"/>
    </row>
    <row r="44" spans="6:30" ht="15.75" x14ac:dyDescent="0.25">
      <c r="F44" s="42">
        <v>134</v>
      </c>
      <c r="G44" s="43" t="s">
        <v>103</v>
      </c>
      <c r="H44" s="40">
        <v>8000</v>
      </c>
      <c r="I44" s="40"/>
      <c r="J44" s="40"/>
      <c r="K44" s="40"/>
      <c r="L44" s="40">
        <f t="shared" si="1"/>
        <v>8000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/>
      <c r="V44" s="40"/>
      <c r="W44" s="40"/>
      <c r="X44" s="40"/>
      <c r="Y44" s="40"/>
      <c r="Z44" s="40">
        <f t="shared" si="0"/>
        <v>0</v>
      </c>
      <c r="AA44" s="41">
        <f>+L44-Z44</f>
        <v>8000</v>
      </c>
      <c r="AC44" s="12"/>
      <c r="AD44" s="12"/>
    </row>
    <row r="45" spans="6:30" ht="15.75" x14ac:dyDescent="0.25">
      <c r="F45" s="42">
        <v>135</v>
      </c>
      <c r="G45" s="43" t="s">
        <v>104</v>
      </c>
      <c r="H45" s="40">
        <v>5000</v>
      </c>
      <c r="I45" s="40"/>
      <c r="J45" s="40"/>
      <c r="K45" s="40"/>
      <c r="L45" s="40">
        <f t="shared" si="1"/>
        <v>5000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1021.86</v>
      </c>
      <c r="U45" s="40"/>
      <c r="V45" s="40"/>
      <c r="W45" s="40">
        <f>T45</f>
        <v>1021.86</v>
      </c>
      <c r="X45" s="40"/>
      <c r="Y45" s="40"/>
      <c r="Z45" s="40">
        <f t="shared" si="0"/>
        <v>1021.86</v>
      </c>
      <c r="AA45" s="41">
        <f>+L45-Z45</f>
        <v>3978.14</v>
      </c>
      <c r="AD45" s="12"/>
    </row>
    <row r="46" spans="6:30" ht="15.75" x14ac:dyDescent="0.25">
      <c r="F46" s="52"/>
      <c r="G46" s="39" t="s">
        <v>105</v>
      </c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1"/>
      <c r="AD46" s="12"/>
    </row>
    <row r="47" spans="6:30" ht="15.75" x14ac:dyDescent="0.25">
      <c r="F47" s="42" t="s">
        <v>106</v>
      </c>
      <c r="G47" s="43" t="s">
        <v>107</v>
      </c>
      <c r="H47" s="40">
        <f>843060.49+50000+257267.46+44727.83+4727.83+435000</f>
        <v>1634783.61</v>
      </c>
      <c r="I47" s="40"/>
      <c r="J47" s="40"/>
      <c r="K47" s="40"/>
      <c r="L47" s="40">
        <f t="shared" si="1"/>
        <v>1634783.61</v>
      </c>
      <c r="M47" s="40">
        <v>14833.53</v>
      </c>
      <c r="N47" s="40">
        <v>7885.21</v>
      </c>
      <c r="O47" s="40">
        <v>0</v>
      </c>
      <c r="P47" s="40">
        <v>161531.18</v>
      </c>
      <c r="Q47" s="40">
        <v>48645.55</v>
      </c>
      <c r="R47" s="40">
        <v>209998</v>
      </c>
      <c r="S47" s="40">
        <v>157425.47</v>
      </c>
      <c r="T47" s="40">
        <v>194876.78</v>
      </c>
      <c r="U47" s="40"/>
      <c r="V47" s="40">
        <f>14833.53+7885.21+94657.28+19732.89+22292+131719.57+136112.72-2200</f>
        <v>425033.19999999995</v>
      </c>
      <c r="W47" s="40">
        <f>66873.9+28912.66+187706+25705.9+58764.06</f>
        <v>367962.52</v>
      </c>
      <c r="X47" s="40">
        <f>2200</f>
        <v>2200</v>
      </c>
      <c r="Y47" s="40"/>
      <c r="Z47" s="40">
        <f t="shared" si="0"/>
        <v>795195.72</v>
      </c>
      <c r="AA47" s="41">
        <f>+L47-Z47</f>
        <v>839587.89000000013</v>
      </c>
      <c r="AD47" s="12"/>
    </row>
    <row r="48" spans="6:30" ht="15.75" x14ac:dyDescent="0.25">
      <c r="F48" s="42" t="s">
        <v>108</v>
      </c>
      <c r="G48" s="43" t="s">
        <v>109</v>
      </c>
      <c r="H48" s="40">
        <v>30448.54</v>
      </c>
      <c r="I48" s="40"/>
      <c r="J48" s="40"/>
      <c r="K48" s="40"/>
      <c r="L48" s="40">
        <f t="shared" si="1"/>
        <v>30448.54</v>
      </c>
      <c r="M48" s="40">
        <v>0</v>
      </c>
      <c r="N48" s="40">
        <v>264.2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f>95.2</f>
        <v>95.2</v>
      </c>
      <c r="V48" s="40">
        <v>169</v>
      </c>
      <c r="W48" s="40"/>
      <c r="X48" s="40"/>
      <c r="Y48" s="40"/>
      <c r="Z48" s="40">
        <f t="shared" si="0"/>
        <v>264.2</v>
      </c>
      <c r="AA48" s="41">
        <f>+L48-Z48</f>
        <v>30184.34</v>
      </c>
      <c r="AD48" s="12"/>
    </row>
    <row r="49" spans="6:30" ht="15.75" x14ac:dyDescent="0.25">
      <c r="F49" s="42">
        <v>143</v>
      </c>
      <c r="G49" s="43" t="s">
        <v>110</v>
      </c>
      <c r="H49" s="40"/>
      <c r="I49" s="40"/>
      <c r="J49" s="40"/>
      <c r="K49" s="40"/>
      <c r="L49" s="40">
        <f t="shared" si="1"/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/>
      <c r="V49" s="40"/>
      <c r="W49" s="40"/>
      <c r="X49" s="40"/>
      <c r="Y49" s="40"/>
      <c r="Z49" s="40">
        <f t="shared" si="0"/>
        <v>0</v>
      </c>
      <c r="AA49" s="41">
        <f>+L49-Z49</f>
        <v>0</v>
      </c>
      <c r="AD49" s="12"/>
    </row>
    <row r="50" spans="6:30" ht="15.75" x14ac:dyDescent="0.25">
      <c r="F50" s="42"/>
      <c r="G50" s="39" t="s">
        <v>111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1"/>
      <c r="AC50" s="12"/>
      <c r="AD50" s="12"/>
    </row>
    <row r="51" spans="6:30" ht="15.75" x14ac:dyDescent="0.25">
      <c r="F51" s="42" t="s">
        <v>112</v>
      </c>
      <c r="G51" s="43" t="s">
        <v>113</v>
      </c>
      <c r="H51" s="40">
        <v>95000</v>
      </c>
      <c r="I51" s="40"/>
      <c r="J51" s="40"/>
      <c r="K51" s="40"/>
      <c r="L51" s="40">
        <f t="shared" si="1"/>
        <v>95000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15215</v>
      </c>
      <c r="U51" s="40"/>
      <c r="V51" s="50"/>
      <c r="W51" s="40">
        <f>T51</f>
        <v>15215</v>
      </c>
      <c r="X51" s="40"/>
      <c r="Y51" s="40"/>
      <c r="Z51" s="40">
        <f t="shared" si="0"/>
        <v>15215</v>
      </c>
      <c r="AA51" s="41">
        <f>+L51-Z51</f>
        <v>79785</v>
      </c>
      <c r="AD51" s="12"/>
    </row>
    <row r="52" spans="6:30" ht="15.75" x14ac:dyDescent="0.25">
      <c r="F52" s="42" t="s">
        <v>114</v>
      </c>
      <c r="G52" s="43" t="s">
        <v>115</v>
      </c>
      <c r="H52" s="40">
        <f>20000+25009.54-15009.54+8397.98+45000</f>
        <v>83397.98</v>
      </c>
      <c r="I52" s="40"/>
      <c r="J52" s="40"/>
      <c r="K52" s="40"/>
      <c r="L52" s="40">
        <f t="shared" si="1"/>
        <v>83397.98</v>
      </c>
      <c r="M52" s="40">
        <v>0</v>
      </c>
      <c r="N52" s="40">
        <v>0</v>
      </c>
      <c r="O52" s="40">
        <v>0</v>
      </c>
      <c r="P52" s="40">
        <v>9750</v>
      </c>
      <c r="Q52" s="40">
        <v>7258</v>
      </c>
      <c r="R52" s="40">
        <v>0</v>
      </c>
      <c r="S52" s="40">
        <v>21294.32</v>
      </c>
      <c r="T52" s="40">
        <v>7547.44</v>
      </c>
      <c r="U52" s="40"/>
      <c r="V52" s="40">
        <f>P52+Q52+S52</f>
        <v>38302.32</v>
      </c>
      <c r="W52" s="40">
        <f>T52</f>
        <v>7547.44</v>
      </c>
      <c r="X52" s="40"/>
      <c r="Y52" s="40"/>
      <c r="Z52" s="40">
        <f t="shared" si="0"/>
        <v>45849.760000000002</v>
      </c>
      <c r="AA52" s="41">
        <f>+L52-Z52</f>
        <v>37548.219999999994</v>
      </c>
      <c r="AD52" s="12"/>
    </row>
    <row r="53" spans="6:30" ht="15.75" x14ac:dyDescent="0.25">
      <c r="F53" s="42">
        <v>158</v>
      </c>
      <c r="G53" s="43" t="s">
        <v>116</v>
      </c>
      <c r="H53" s="40"/>
      <c r="I53" s="40"/>
      <c r="J53" s="40"/>
      <c r="K53" s="40"/>
      <c r="L53" s="40">
        <f t="shared" si="1"/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/>
      <c r="V53" s="40"/>
      <c r="W53" s="40"/>
      <c r="X53" s="40"/>
      <c r="Y53" s="40"/>
      <c r="Z53" s="40">
        <f t="shared" si="0"/>
        <v>0</v>
      </c>
      <c r="AA53" s="41">
        <f>+L53-Z53</f>
        <v>0</v>
      </c>
      <c r="AD53" s="12"/>
    </row>
    <row r="54" spans="6:30" ht="15.75" x14ac:dyDescent="0.25">
      <c r="F54" s="42"/>
      <c r="G54" s="39" t="s">
        <v>117</v>
      </c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1"/>
      <c r="AD54" s="12"/>
    </row>
    <row r="55" spans="6:30" ht="15.75" x14ac:dyDescent="0.25">
      <c r="F55" s="42"/>
      <c r="G55" s="39" t="s">
        <v>118</v>
      </c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1"/>
      <c r="AD55" s="12"/>
    </row>
    <row r="56" spans="6:30" ht="15.75" x14ac:dyDescent="0.25">
      <c r="F56" s="42" t="s">
        <v>119</v>
      </c>
      <c r="G56" s="43" t="s">
        <v>120</v>
      </c>
      <c r="H56" s="40">
        <v>5000</v>
      </c>
      <c r="I56" s="40"/>
      <c r="J56" s="40"/>
      <c r="K56" s="40"/>
      <c r="L56" s="40">
        <f t="shared" si="1"/>
        <v>5000</v>
      </c>
      <c r="M56" s="40">
        <v>0</v>
      </c>
      <c r="N56" s="40">
        <v>873.6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>
        <v>0</v>
      </c>
      <c r="U56" s="40"/>
      <c r="V56" s="40"/>
      <c r="W56" s="40">
        <f>N56</f>
        <v>873.6</v>
      </c>
      <c r="X56" s="40"/>
      <c r="Y56" s="40"/>
      <c r="Z56" s="40">
        <f t="shared" si="0"/>
        <v>873.6</v>
      </c>
      <c r="AA56" s="41">
        <f t="shared" ref="AA56:AA64" si="3">+L56-Z56</f>
        <v>4126.3999999999996</v>
      </c>
      <c r="AD56" s="12"/>
    </row>
    <row r="57" spans="6:30" ht="15.75" x14ac:dyDescent="0.25">
      <c r="F57" s="42">
        <v>164</v>
      </c>
      <c r="G57" s="43" t="s">
        <v>121</v>
      </c>
      <c r="H57" s="40"/>
      <c r="I57" s="40"/>
      <c r="J57" s="40"/>
      <c r="K57" s="40"/>
      <c r="L57" s="40">
        <f t="shared" si="1"/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/>
      <c r="V57" s="40"/>
      <c r="W57" s="40"/>
      <c r="X57" s="40"/>
      <c r="Y57" s="40"/>
      <c r="Z57" s="40">
        <f t="shared" si="0"/>
        <v>0</v>
      </c>
      <c r="AA57" s="41">
        <f t="shared" si="3"/>
        <v>0</v>
      </c>
      <c r="AD57" s="12"/>
    </row>
    <row r="58" spans="6:30" ht="15.75" x14ac:dyDescent="0.25">
      <c r="F58" s="42">
        <v>165</v>
      </c>
      <c r="G58" s="43" t="s">
        <v>122</v>
      </c>
      <c r="H58" s="40">
        <v>5000</v>
      </c>
      <c r="I58" s="40"/>
      <c r="J58" s="40"/>
      <c r="K58" s="40"/>
      <c r="L58" s="40">
        <f t="shared" si="1"/>
        <v>5000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/>
      <c r="V58" s="40"/>
      <c r="W58" s="40"/>
      <c r="X58" s="40"/>
      <c r="Y58" s="40"/>
      <c r="Z58" s="40">
        <f t="shared" si="0"/>
        <v>0</v>
      </c>
      <c r="AA58" s="41">
        <f t="shared" si="3"/>
        <v>5000</v>
      </c>
      <c r="AD58" s="12"/>
    </row>
    <row r="59" spans="6:30" ht="15.75" x14ac:dyDescent="0.25">
      <c r="F59" s="42">
        <v>166</v>
      </c>
      <c r="G59" s="43" t="s">
        <v>123</v>
      </c>
      <c r="H59" s="40"/>
      <c r="I59" s="40"/>
      <c r="J59" s="40">
        <v>15000</v>
      </c>
      <c r="K59" s="40"/>
      <c r="L59" s="40">
        <f t="shared" si="1"/>
        <v>15000</v>
      </c>
      <c r="M59" s="40">
        <v>0</v>
      </c>
      <c r="N59" s="40">
        <v>0</v>
      </c>
      <c r="O59" s="40">
        <v>1350</v>
      </c>
      <c r="P59" s="40">
        <v>0</v>
      </c>
      <c r="Q59" s="40">
        <v>0</v>
      </c>
      <c r="R59" s="40">
        <v>0</v>
      </c>
      <c r="S59" s="40">
        <v>0</v>
      </c>
      <c r="T59" s="40">
        <v>0</v>
      </c>
      <c r="U59" s="40"/>
      <c r="V59" s="40"/>
      <c r="W59" s="40">
        <v>1350</v>
      </c>
      <c r="X59" s="40"/>
      <c r="Y59" s="40"/>
      <c r="Z59" s="40">
        <f t="shared" si="0"/>
        <v>1350</v>
      </c>
      <c r="AA59" s="41">
        <f t="shared" si="3"/>
        <v>13650</v>
      </c>
      <c r="AD59" s="12"/>
    </row>
    <row r="60" spans="6:30" ht="15.75" x14ac:dyDescent="0.25">
      <c r="F60" s="42" t="s">
        <v>124</v>
      </c>
      <c r="G60" s="43" t="s">
        <v>125</v>
      </c>
      <c r="H60" s="40">
        <v>5000</v>
      </c>
      <c r="I60" s="40"/>
      <c r="J60" s="40"/>
      <c r="K60" s="40"/>
      <c r="L60" s="40">
        <f t="shared" si="1"/>
        <v>5000</v>
      </c>
      <c r="M60" s="40">
        <v>0</v>
      </c>
      <c r="N60" s="40">
        <v>0</v>
      </c>
      <c r="O60" s="40">
        <v>0</v>
      </c>
      <c r="P60" s="40">
        <v>0</v>
      </c>
      <c r="Q60" s="40">
        <v>990</v>
      </c>
      <c r="R60" s="40">
        <v>0</v>
      </c>
      <c r="S60" s="40">
        <v>1275</v>
      </c>
      <c r="T60" s="40">
        <v>0</v>
      </c>
      <c r="U60" s="40">
        <f>Q60+S60</f>
        <v>2265</v>
      </c>
      <c r="V60" s="40"/>
      <c r="W60" s="40"/>
      <c r="X60" s="40"/>
      <c r="Y60" s="40"/>
      <c r="Z60" s="40">
        <f t="shared" si="0"/>
        <v>2265</v>
      </c>
      <c r="AA60" s="41">
        <f t="shared" si="3"/>
        <v>2735</v>
      </c>
      <c r="AD60" s="12"/>
    </row>
    <row r="61" spans="6:30" ht="15.75" x14ac:dyDescent="0.25">
      <c r="F61" s="42">
        <v>169</v>
      </c>
      <c r="G61" s="43" t="s">
        <v>126</v>
      </c>
      <c r="H61" s="40"/>
      <c r="I61" s="40"/>
      <c r="J61" s="40">
        <v>15000</v>
      </c>
      <c r="K61" s="40"/>
      <c r="L61" s="40">
        <f t="shared" si="1"/>
        <v>15000</v>
      </c>
      <c r="M61" s="40">
        <v>0</v>
      </c>
      <c r="N61" s="40">
        <v>0</v>
      </c>
      <c r="O61" s="40">
        <v>3870</v>
      </c>
      <c r="P61" s="40">
        <v>0</v>
      </c>
      <c r="Q61" s="40">
        <v>0</v>
      </c>
      <c r="R61" s="40">
        <v>0</v>
      </c>
      <c r="S61" s="40">
        <v>0</v>
      </c>
      <c r="T61" s="40">
        <v>0</v>
      </c>
      <c r="U61" s="40"/>
      <c r="V61" s="40"/>
      <c r="W61" s="40">
        <v>3870</v>
      </c>
      <c r="X61" s="40"/>
      <c r="Y61" s="40"/>
      <c r="Z61" s="40">
        <f t="shared" si="0"/>
        <v>3870</v>
      </c>
      <c r="AA61" s="41">
        <f t="shared" si="3"/>
        <v>11130</v>
      </c>
      <c r="AD61" s="12"/>
    </row>
    <row r="62" spans="6:30" ht="15.75" x14ac:dyDescent="0.25">
      <c r="F62" s="42">
        <v>171</v>
      </c>
      <c r="G62" s="43" t="s">
        <v>127</v>
      </c>
      <c r="H62" s="40">
        <v>35000</v>
      </c>
      <c r="I62" s="40"/>
      <c r="J62" s="40">
        <f>100000+50000</f>
        <v>150000</v>
      </c>
      <c r="K62" s="40"/>
      <c r="L62" s="40">
        <f t="shared" si="1"/>
        <v>185000</v>
      </c>
      <c r="M62" s="40">
        <v>0</v>
      </c>
      <c r="N62" s="40">
        <v>0</v>
      </c>
      <c r="O62" s="40">
        <v>89000</v>
      </c>
      <c r="P62" s="40">
        <v>48355.61</v>
      </c>
      <c r="Q62" s="40">
        <v>0</v>
      </c>
      <c r="R62" s="40">
        <v>0</v>
      </c>
      <c r="S62" s="40">
        <v>0</v>
      </c>
      <c r="T62" s="40">
        <v>0</v>
      </c>
      <c r="U62" s="40">
        <f>23405</f>
        <v>23405</v>
      </c>
      <c r="W62" s="40">
        <f>89000+24950.61</f>
        <v>113950.61</v>
      </c>
      <c r="X62" s="12"/>
      <c r="Y62" s="40"/>
      <c r="Z62" s="40">
        <f t="shared" si="0"/>
        <v>137355.60999999999</v>
      </c>
      <c r="AA62" s="41">
        <f t="shared" si="3"/>
        <v>47644.390000000014</v>
      </c>
      <c r="AD62" s="12"/>
    </row>
    <row r="63" spans="6:30" ht="15.75" x14ac:dyDescent="0.25">
      <c r="F63" s="42">
        <v>174</v>
      </c>
      <c r="G63" s="43" t="s">
        <v>128</v>
      </c>
      <c r="H63" s="40">
        <v>5000</v>
      </c>
      <c r="I63" s="40"/>
      <c r="J63" s="40"/>
      <c r="K63" s="40"/>
      <c r="L63" s="40">
        <f t="shared" si="1"/>
        <v>5000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>
        <v>0</v>
      </c>
      <c r="U63" s="40"/>
      <c r="V63" s="40"/>
      <c r="W63" s="40"/>
      <c r="X63" s="40"/>
      <c r="Y63" s="40"/>
      <c r="Z63" s="40">
        <f t="shared" si="0"/>
        <v>0</v>
      </c>
      <c r="AA63" s="41">
        <f t="shared" si="3"/>
        <v>5000</v>
      </c>
      <c r="AD63" s="12"/>
    </row>
    <row r="64" spans="6:30" ht="15.75" x14ac:dyDescent="0.25">
      <c r="F64" s="53">
        <v>176</v>
      </c>
      <c r="G64" s="54" t="s">
        <v>129</v>
      </c>
      <c r="H64" s="55"/>
      <c r="I64" s="55"/>
      <c r="J64" s="55"/>
      <c r="K64" s="55"/>
      <c r="L64" s="40">
        <f t="shared" si="1"/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0</v>
      </c>
      <c r="U64" s="55"/>
      <c r="V64" s="55"/>
      <c r="W64" s="55"/>
      <c r="X64" s="55"/>
      <c r="Y64" s="55"/>
      <c r="Z64" s="40">
        <f t="shared" si="0"/>
        <v>0</v>
      </c>
      <c r="AA64" s="41">
        <f t="shared" si="3"/>
        <v>0</v>
      </c>
      <c r="AD64" s="12"/>
    </row>
    <row r="65" spans="6:31" ht="16.5" thickBot="1" x14ac:dyDescent="0.3">
      <c r="F65" s="56"/>
      <c r="G65" s="57" t="s">
        <v>130</v>
      </c>
      <c r="H65" s="58">
        <f>SUM(H14:H63)</f>
        <v>6407693.7700000014</v>
      </c>
      <c r="I65" s="58">
        <f>SUM(I14:I63)</f>
        <v>0</v>
      </c>
      <c r="J65" s="58">
        <f>SUM(J14:J64)</f>
        <v>341984.06</v>
      </c>
      <c r="K65" s="58">
        <f>SUM(K20:K63)</f>
        <v>0</v>
      </c>
      <c r="L65" s="58">
        <f>SUM(L16:L64)</f>
        <v>6749677.830000001</v>
      </c>
      <c r="M65" s="58">
        <f>SUM(M14:M64)</f>
        <v>151546.63</v>
      </c>
      <c r="N65" s="58">
        <f>SUM(N16:N64)</f>
        <v>226072.46000000002</v>
      </c>
      <c r="O65" s="58">
        <f>SUM(O14:O64)</f>
        <v>356265.25</v>
      </c>
      <c r="P65" s="58">
        <f>SUM(P16:P64)</f>
        <v>586982.14</v>
      </c>
      <c r="Q65" s="58">
        <f>SUM(Q16:Q64)</f>
        <v>341887.81</v>
      </c>
      <c r="R65" s="58">
        <f>SUM(R14:R64)</f>
        <v>708532.25</v>
      </c>
      <c r="S65" s="58">
        <f>SUM(S14:S64)</f>
        <v>516175.31</v>
      </c>
      <c r="T65" s="58">
        <f>SUM(T14:T64)</f>
        <v>521433.83</v>
      </c>
      <c r="U65" s="58">
        <f>SUM(U15:U64)</f>
        <v>674532.37999999989</v>
      </c>
      <c r="V65" s="58">
        <f>SUM(V15:V64)</f>
        <v>892146.7699999999</v>
      </c>
      <c r="W65" s="58">
        <f>SUM(W15:W64)</f>
        <v>1496095.9300000004</v>
      </c>
      <c r="X65" s="58">
        <f>SUM(X14:X64)</f>
        <v>74220.600000000006</v>
      </c>
      <c r="Y65" s="58">
        <f>SUM(Y15:Y64)</f>
        <v>271900</v>
      </c>
      <c r="Z65" s="58">
        <f>SUM(Z16:Z64)</f>
        <v>3408895.6799999997</v>
      </c>
      <c r="AA65" s="59">
        <f>SUM(AA16:AA63)</f>
        <v>3340782.1500000004</v>
      </c>
      <c r="AD65" s="12"/>
    </row>
    <row r="66" spans="6:31" ht="15.75" x14ac:dyDescent="0.25">
      <c r="F66" s="35"/>
      <c r="G66" s="30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30"/>
      <c r="AD66" s="12"/>
    </row>
    <row r="67" spans="6:31" ht="15.75" x14ac:dyDescent="0.25">
      <c r="F67" s="35"/>
      <c r="G67" s="30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30"/>
      <c r="AD67" s="12"/>
    </row>
    <row r="68" spans="6:31" ht="15.75" x14ac:dyDescent="0.25">
      <c r="F68" s="35"/>
      <c r="G68" s="30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30"/>
      <c r="AD68" s="12"/>
    </row>
    <row r="69" spans="6:31" ht="15.75" x14ac:dyDescent="0.25">
      <c r="F69" s="35"/>
      <c r="G69" s="30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60"/>
      <c r="Y69" s="48"/>
      <c r="Z69" s="48"/>
      <c r="AA69" s="30"/>
      <c r="AD69" s="12"/>
    </row>
    <row r="70" spans="6:31" ht="16.5" thickBot="1" x14ac:dyDescent="0.3">
      <c r="F70" s="35"/>
      <c r="G70" s="30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30" t="s">
        <v>42</v>
      </c>
      <c r="AD70" s="12"/>
    </row>
    <row r="71" spans="6:31" ht="25.5" customHeight="1" thickBot="1" x14ac:dyDescent="0.3">
      <c r="F71" s="35"/>
      <c r="G71" s="30"/>
      <c r="H71" s="48"/>
      <c r="I71" s="48"/>
      <c r="J71" s="143" t="s">
        <v>46</v>
      </c>
      <c r="K71" s="144"/>
      <c r="L71" s="48"/>
      <c r="M71" s="48"/>
      <c r="N71" s="48"/>
      <c r="O71" s="48"/>
      <c r="P71" s="48"/>
      <c r="Q71" s="48"/>
      <c r="R71" s="48"/>
      <c r="S71" s="48"/>
      <c r="T71" s="48"/>
      <c r="U71" s="143" t="str">
        <f>U12</f>
        <v>Fuente de Financiamiento 22</v>
      </c>
      <c r="V71" s="146"/>
      <c r="W71" s="144"/>
      <c r="X71" s="48"/>
      <c r="Y71" s="48"/>
      <c r="Z71" s="48"/>
      <c r="AA71" s="30"/>
      <c r="AD71" s="12"/>
    </row>
    <row r="72" spans="6:31" ht="45.75" customHeight="1" thickBot="1" x14ac:dyDescent="0.3">
      <c r="F72" s="121" t="s">
        <v>48</v>
      </c>
      <c r="G72" s="122" t="s">
        <v>49</v>
      </c>
      <c r="H72" s="122" t="s">
        <v>131</v>
      </c>
      <c r="I72" s="132" t="str">
        <f>I13</f>
        <v>Ampliacion de Presupuesto</v>
      </c>
      <c r="J72" s="122" t="s">
        <v>52</v>
      </c>
      <c r="K72" s="122" t="s">
        <v>53</v>
      </c>
      <c r="L72" s="122" t="s">
        <v>54</v>
      </c>
      <c r="M72" s="122" t="str">
        <f>M13</f>
        <v>Enero</v>
      </c>
      <c r="N72" s="136" t="s">
        <v>3</v>
      </c>
      <c r="O72" s="136" t="s">
        <v>221</v>
      </c>
      <c r="P72" s="136" t="s">
        <v>223</v>
      </c>
      <c r="Q72" s="136" t="s">
        <v>224</v>
      </c>
      <c r="R72" s="136" t="s">
        <v>7</v>
      </c>
      <c r="S72" s="136" t="s">
        <v>225</v>
      </c>
      <c r="T72" s="136" t="s">
        <v>228</v>
      </c>
      <c r="U72" s="127">
        <f>U13</f>
        <v>0.2</v>
      </c>
      <c r="V72" s="133">
        <f>V13</f>
        <v>0.3</v>
      </c>
      <c r="W72" s="133">
        <f>W13</f>
        <v>0.5</v>
      </c>
      <c r="X72" s="133" t="str">
        <f>X13</f>
        <v>C.O.G. 2026</v>
      </c>
      <c r="Y72" s="133" t="str">
        <f>Y13</f>
        <v>Saldo de Caja 2026</v>
      </c>
      <c r="Z72" s="125" t="s">
        <v>56</v>
      </c>
      <c r="AA72" s="134" t="s">
        <v>57</v>
      </c>
      <c r="AD72" s="12"/>
    </row>
    <row r="73" spans="6:31" ht="15.75" x14ac:dyDescent="0.25">
      <c r="F73" s="61"/>
      <c r="G73" s="62" t="s">
        <v>132</v>
      </c>
      <c r="H73" s="37">
        <f t="shared" ref="H73:AA73" si="4">H65</f>
        <v>6407693.7700000014</v>
      </c>
      <c r="I73" s="37">
        <f t="shared" si="4"/>
        <v>0</v>
      </c>
      <c r="J73" s="63">
        <f t="shared" si="4"/>
        <v>341984.06</v>
      </c>
      <c r="K73" s="63">
        <f t="shared" si="4"/>
        <v>0</v>
      </c>
      <c r="L73" s="63">
        <f t="shared" si="4"/>
        <v>6749677.830000001</v>
      </c>
      <c r="M73" s="37">
        <f t="shared" si="4"/>
        <v>151546.63</v>
      </c>
      <c r="N73" s="37">
        <f t="shared" si="4"/>
        <v>226072.46000000002</v>
      </c>
      <c r="O73" s="37">
        <f t="shared" si="4"/>
        <v>356265.25</v>
      </c>
      <c r="P73" s="37">
        <f t="shared" si="4"/>
        <v>586982.14</v>
      </c>
      <c r="Q73" s="37">
        <f t="shared" si="4"/>
        <v>341887.81</v>
      </c>
      <c r="R73" s="37">
        <f>R65</f>
        <v>708532.25</v>
      </c>
      <c r="S73" s="37">
        <f>S65</f>
        <v>516175.31</v>
      </c>
      <c r="T73" s="37">
        <f>T65</f>
        <v>521433.83</v>
      </c>
      <c r="U73" s="37">
        <f t="shared" si="4"/>
        <v>674532.37999999989</v>
      </c>
      <c r="V73" s="37">
        <f t="shared" si="4"/>
        <v>892146.7699999999</v>
      </c>
      <c r="W73" s="37">
        <f t="shared" si="4"/>
        <v>1496095.9300000004</v>
      </c>
      <c r="X73" s="37">
        <f t="shared" si="4"/>
        <v>74220.600000000006</v>
      </c>
      <c r="Y73" s="37">
        <f t="shared" si="4"/>
        <v>271900</v>
      </c>
      <c r="Z73" s="40">
        <f t="shared" si="4"/>
        <v>3408895.6799999997</v>
      </c>
      <c r="AA73" s="64">
        <f t="shared" si="4"/>
        <v>3340782.1500000004</v>
      </c>
      <c r="AD73" s="12"/>
    </row>
    <row r="74" spans="6:31" ht="15.75" x14ac:dyDescent="0.25">
      <c r="F74" s="42"/>
      <c r="G74" s="39" t="s">
        <v>133</v>
      </c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1"/>
      <c r="AD74" s="12"/>
    </row>
    <row r="75" spans="6:31" ht="15.75" x14ac:dyDescent="0.25">
      <c r="F75" s="42"/>
      <c r="G75" s="39" t="s">
        <v>134</v>
      </c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1"/>
      <c r="AD75" s="12"/>
    </row>
    <row r="76" spans="6:31" ht="15.75" x14ac:dyDescent="0.25">
      <c r="F76" s="42">
        <v>182</v>
      </c>
      <c r="G76" s="43" t="s">
        <v>135</v>
      </c>
      <c r="H76" s="40">
        <f>2500+82510.09</f>
        <v>85010.09</v>
      </c>
      <c r="I76" s="40"/>
      <c r="J76" s="40"/>
      <c r="K76" s="40"/>
      <c r="L76" s="40">
        <f>+H76+I76+J76-K76</f>
        <v>85010.09</v>
      </c>
      <c r="M76" s="40">
        <v>0</v>
      </c>
      <c r="N76" s="40">
        <v>0</v>
      </c>
      <c r="O76" s="40">
        <v>400</v>
      </c>
      <c r="P76" s="40">
        <v>0</v>
      </c>
      <c r="Q76" s="40">
        <v>0</v>
      </c>
      <c r="R76" s="40">
        <v>0</v>
      </c>
      <c r="S76" s="40">
        <v>0</v>
      </c>
      <c r="T76" s="40">
        <v>2500</v>
      </c>
      <c r="U76" s="40"/>
      <c r="V76" s="40">
        <f>400+T76</f>
        <v>2900</v>
      </c>
      <c r="W76" s="40"/>
      <c r="X76" s="40"/>
      <c r="Y76" s="40"/>
      <c r="Z76" s="40">
        <f>SUM(M76:T76)</f>
        <v>2900</v>
      </c>
      <c r="AA76" s="41">
        <f t="shared" ref="AA76:AA82" si="5">+L76-Z76</f>
        <v>82110.09</v>
      </c>
      <c r="AD76" s="12"/>
    </row>
    <row r="77" spans="6:31" ht="15.75" x14ac:dyDescent="0.25">
      <c r="F77" s="42" t="s">
        <v>136</v>
      </c>
      <c r="G77" s="43" t="s">
        <v>137</v>
      </c>
      <c r="H77" s="40">
        <v>2000</v>
      </c>
      <c r="I77" s="40"/>
      <c r="J77" s="40"/>
      <c r="K77" s="40"/>
      <c r="L77" s="40">
        <f t="shared" ref="L77:L143" si="6">+H77+I77+J77-K77</f>
        <v>2000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40">
        <v>0</v>
      </c>
      <c r="U77" s="50"/>
      <c r="V77" s="50"/>
      <c r="W77" s="50"/>
      <c r="X77" s="50"/>
      <c r="Y77" s="50"/>
      <c r="Z77" s="40">
        <f t="shared" ref="Z77:Z140" si="7">SUM(M77:T77)</f>
        <v>0</v>
      </c>
      <c r="AA77" s="41">
        <f t="shared" si="5"/>
        <v>2000</v>
      </c>
      <c r="AD77" s="12"/>
    </row>
    <row r="78" spans="6:31" ht="15.75" x14ac:dyDescent="0.25">
      <c r="F78" s="42">
        <v>184</v>
      </c>
      <c r="G78" s="43" t="s">
        <v>219</v>
      </c>
      <c r="H78" s="40"/>
      <c r="I78" s="40"/>
      <c r="J78" s="40"/>
      <c r="K78" s="40"/>
      <c r="L78" s="40">
        <f t="shared" si="6"/>
        <v>0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40">
        <v>0</v>
      </c>
      <c r="T78" s="40">
        <v>0</v>
      </c>
      <c r="U78" s="50"/>
      <c r="V78" s="50"/>
      <c r="W78" s="50"/>
      <c r="X78" s="50"/>
      <c r="Y78" s="50"/>
      <c r="Z78" s="40">
        <f t="shared" si="7"/>
        <v>0</v>
      </c>
      <c r="AA78" s="41">
        <f t="shared" si="5"/>
        <v>0</v>
      </c>
      <c r="AD78" s="12"/>
    </row>
    <row r="79" spans="6:31" ht="15.75" x14ac:dyDescent="0.25">
      <c r="F79" s="42">
        <v>185</v>
      </c>
      <c r="G79" s="43" t="s">
        <v>138</v>
      </c>
      <c r="H79" s="40">
        <f>2500+25000</f>
        <v>27500</v>
      </c>
      <c r="I79" s="40"/>
      <c r="J79" s="40">
        <v>50000</v>
      </c>
      <c r="K79" s="40"/>
      <c r="L79" s="40">
        <f t="shared" si="6"/>
        <v>77500</v>
      </c>
      <c r="M79" s="40">
        <v>0</v>
      </c>
      <c r="N79" s="40">
        <v>21700</v>
      </c>
      <c r="O79" s="40">
        <v>0</v>
      </c>
      <c r="P79" s="40">
        <v>0</v>
      </c>
      <c r="Q79" s="40">
        <v>0</v>
      </c>
      <c r="R79" s="40">
        <v>0</v>
      </c>
      <c r="S79" s="40">
        <v>9300</v>
      </c>
      <c r="T79" s="40">
        <v>0</v>
      </c>
      <c r="U79" s="50"/>
      <c r="V79" s="50">
        <v>10850</v>
      </c>
      <c r="W79" s="50">
        <f>10850+9300</f>
        <v>20150</v>
      </c>
      <c r="X79" s="50"/>
      <c r="Y79" s="50"/>
      <c r="Z79" s="40">
        <f t="shared" si="7"/>
        <v>31000</v>
      </c>
      <c r="AA79" s="41">
        <f t="shared" si="5"/>
        <v>46500</v>
      </c>
      <c r="AD79" s="12"/>
      <c r="AE79" s="12"/>
    </row>
    <row r="80" spans="6:31" ht="15.75" x14ac:dyDescent="0.25">
      <c r="F80" s="42">
        <v>186</v>
      </c>
      <c r="G80" s="43" t="s">
        <v>139</v>
      </c>
      <c r="H80" s="40">
        <v>2000</v>
      </c>
      <c r="I80" s="40"/>
      <c r="J80" s="40"/>
      <c r="K80" s="40"/>
      <c r="L80" s="40">
        <f t="shared" si="6"/>
        <v>2000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40">
        <v>0</v>
      </c>
      <c r="T80" s="40">
        <v>0</v>
      </c>
      <c r="U80" s="50"/>
      <c r="V80" s="50"/>
      <c r="W80" s="50"/>
      <c r="X80" s="50"/>
      <c r="Y80" s="50"/>
      <c r="Z80" s="40">
        <f t="shared" si="7"/>
        <v>0</v>
      </c>
      <c r="AA80" s="41">
        <f t="shared" si="5"/>
        <v>2000</v>
      </c>
      <c r="AD80" s="12"/>
    </row>
    <row r="81" spans="6:31" ht="15.75" x14ac:dyDescent="0.25">
      <c r="F81" s="42">
        <v>188</v>
      </c>
      <c r="G81" s="43" t="s">
        <v>220</v>
      </c>
      <c r="H81" s="40"/>
      <c r="I81" s="40"/>
      <c r="J81" s="40">
        <v>20000</v>
      </c>
      <c r="K81" s="40"/>
      <c r="L81" s="40">
        <f t="shared" si="6"/>
        <v>20000</v>
      </c>
      <c r="M81" s="40">
        <v>0</v>
      </c>
      <c r="N81" s="40">
        <v>0</v>
      </c>
      <c r="O81" s="40">
        <v>2500</v>
      </c>
      <c r="P81" s="40">
        <v>0</v>
      </c>
      <c r="Q81" s="40">
        <v>0</v>
      </c>
      <c r="R81" s="40">
        <v>0</v>
      </c>
      <c r="S81" s="40">
        <v>0</v>
      </c>
      <c r="T81" s="40">
        <v>0</v>
      </c>
      <c r="U81" s="50"/>
      <c r="V81" s="50"/>
      <c r="W81" s="50">
        <v>2500</v>
      </c>
      <c r="X81" s="50"/>
      <c r="Y81" s="50"/>
      <c r="Z81" s="40">
        <f t="shared" si="7"/>
        <v>2500</v>
      </c>
      <c r="AA81" s="41">
        <f t="shared" si="5"/>
        <v>17500</v>
      </c>
      <c r="AD81" s="12"/>
    </row>
    <row r="82" spans="6:31" ht="15.75" x14ac:dyDescent="0.25">
      <c r="F82" s="42">
        <v>189</v>
      </c>
      <c r="G82" s="43" t="s">
        <v>140</v>
      </c>
      <c r="H82" s="40">
        <v>265000</v>
      </c>
      <c r="I82" s="40">
        <v>3000</v>
      </c>
      <c r="J82" s="40">
        <v>100000</v>
      </c>
      <c r="K82" s="40"/>
      <c r="L82" s="40">
        <f t="shared" si="6"/>
        <v>368000</v>
      </c>
      <c r="M82" s="40">
        <v>17500</v>
      </c>
      <c r="N82" s="40">
        <v>24465.47</v>
      </c>
      <c r="O82" s="40">
        <v>44545.47</v>
      </c>
      <c r="P82" s="40">
        <v>75045.47</v>
      </c>
      <c r="Q82" s="40">
        <v>40305.47</v>
      </c>
      <c r="R82" s="40">
        <v>47881.47</v>
      </c>
      <c r="S82" s="40">
        <v>38545.47</v>
      </c>
      <c r="T82" s="40">
        <v>55175.87</v>
      </c>
      <c r="U82" s="50">
        <f>6000+12000+36000+13500+13500+13500+13500</f>
        <v>108000</v>
      </c>
      <c r="V82" s="51">
        <f>23025.47+21545.47-14406.91+32545.47-14406.91+22425.47-14406.91+21545.47-14406.91+21545.47-14406.91+22345.47-21545.47</f>
        <v>71398.26999999999</v>
      </c>
      <c r="W82" s="50">
        <f>8000+3500+1440+11000+3500+4380+12836+3500+19330.4</f>
        <v>67486.399999999994</v>
      </c>
      <c r="X82" s="50">
        <f>14406.91+14406.91+14406.91+14406.91+14406.91+21545.47</f>
        <v>93580.02</v>
      </c>
      <c r="Y82" s="50">
        <v>3000</v>
      </c>
      <c r="Z82" s="40">
        <f t="shared" si="7"/>
        <v>343464.69</v>
      </c>
      <c r="AA82" s="41">
        <f t="shared" si="5"/>
        <v>24535.309999999998</v>
      </c>
      <c r="AD82" s="12"/>
      <c r="AE82" s="65"/>
    </row>
    <row r="83" spans="6:31" ht="15.75" x14ac:dyDescent="0.25">
      <c r="F83" s="42"/>
      <c r="G83" s="39" t="s">
        <v>141</v>
      </c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50"/>
      <c r="V83" s="50"/>
      <c r="W83" s="50"/>
      <c r="X83" s="50"/>
      <c r="Y83" s="50"/>
      <c r="Z83" s="40"/>
      <c r="AA83" s="41"/>
      <c r="AD83" s="12"/>
    </row>
    <row r="84" spans="6:31" ht="15.75" x14ac:dyDescent="0.25">
      <c r="F84" s="42" t="s">
        <v>142</v>
      </c>
      <c r="G84" s="43" t="s">
        <v>143</v>
      </c>
      <c r="H84" s="40">
        <f>58996.24+30000+15000+31238.92</f>
        <v>135235.15999999997</v>
      </c>
      <c r="I84" s="40"/>
      <c r="J84" s="40"/>
      <c r="K84" s="40"/>
      <c r="L84" s="40">
        <f t="shared" si="6"/>
        <v>135235.15999999997</v>
      </c>
      <c r="M84" s="40">
        <v>180.55</v>
      </c>
      <c r="N84" s="40">
        <v>18600</v>
      </c>
      <c r="O84" s="40">
        <v>499.1</v>
      </c>
      <c r="P84" s="40">
        <v>998.2</v>
      </c>
      <c r="Q84" s="40">
        <v>285.2</v>
      </c>
      <c r="R84" s="40">
        <v>4982.05</v>
      </c>
      <c r="S84" s="40">
        <v>785.85</v>
      </c>
      <c r="T84" s="40">
        <v>2078.9299999999998</v>
      </c>
      <c r="U84" s="50">
        <f>3100</f>
        <v>3100</v>
      </c>
      <c r="V84" s="50">
        <f>180.55+13950+465.23+785.85+358.44-6200</f>
        <v>9540.07</v>
      </c>
      <c r="W84" s="50">
        <f>1550+499.1+998.2+285.2+4516.82+1720.49</f>
        <v>9569.81</v>
      </c>
      <c r="X84" s="50">
        <f>6200</f>
        <v>6200</v>
      </c>
      <c r="Y84" s="50"/>
      <c r="Z84" s="40">
        <f t="shared" si="7"/>
        <v>28409.879999999997</v>
      </c>
      <c r="AA84" s="41">
        <f t="shared" ref="AA84:AA89" si="8">+L84-Z84</f>
        <v>106825.27999999997</v>
      </c>
      <c r="AD84" s="12"/>
      <c r="AE84" s="12"/>
    </row>
    <row r="85" spans="6:31" ht="15.75" x14ac:dyDescent="0.25">
      <c r="F85" s="42">
        <v>194</v>
      </c>
      <c r="G85" s="43" t="s">
        <v>144</v>
      </c>
      <c r="H85" s="47">
        <v>2500</v>
      </c>
      <c r="I85" s="40"/>
      <c r="J85" s="40"/>
      <c r="K85" s="40"/>
      <c r="L85" s="40">
        <f t="shared" si="6"/>
        <v>2500</v>
      </c>
      <c r="M85" s="40">
        <v>0</v>
      </c>
      <c r="N85" s="40">
        <v>0</v>
      </c>
      <c r="O85" s="40">
        <v>0</v>
      </c>
      <c r="P85" s="40">
        <v>0</v>
      </c>
      <c r="Q85" s="40">
        <v>0</v>
      </c>
      <c r="R85" s="40">
        <v>0</v>
      </c>
      <c r="S85" s="40">
        <v>0</v>
      </c>
      <c r="T85" s="40">
        <v>0</v>
      </c>
      <c r="U85" s="50"/>
      <c r="V85" s="50"/>
      <c r="W85" s="50"/>
      <c r="X85" s="50"/>
      <c r="Y85" s="50"/>
      <c r="Z85" s="40">
        <f t="shared" si="7"/>
        <v>0</v>
      </c>
      <c r="AA85" s="41">
        <f t="shared" si="8"/>
        <v>2500</v>
      </c>
      <c r="AD85" s="12"/>
    </row>
    <row r="86" spans="6:31" ht="15.75" x14ac:dyDescent="0.25">
      <c r="F86" s="42" t="s">
        <v>145</v>
      </c>
      <c r="G86" s="43" t="s">
        <v>146</v>
      </c>
      <c r="H86" s="40">
        <v>5000</v>
      </c>
      <c r="I86" s="40"/>
      <c r="J86" s="40">
        <v>10000</v>
      </c>
      <c r="K86" s="40"/>
      <c r="L86" s="40">
        <f t="shared" si="6"/>
        <v>15000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10360</v>
      </c>
      <c r="S86" s="40">
        <v>0</v>
      </c>
      <c r="T86" s="40">
        <v>4275.41</v>
      </c>
      <c r="U86" s="50"/>
      <c r="V86" s="50"/>
      <c r="W86" s="50">
        <f>R86+4275.41</f>
        <v>14635.41</v>
      </c>
      <c r="X86" s="50"/>
      <c r="Y86" s="50"/>
      <c r="Z86" s="40">
        <f t="shared" si="7"/>
        <v>14635.41</v>
      </c>
      <c r="AA86" s="41">
        <f t="shared" si="8"/>
        <v>364.59000000000015</v>
      </c>
      <c r="AD86" s="12"/>
    </row>
    <row r="87" spans="6:31" ht="15.75" x14ac:dyDescent="0.25">
      <c r="F87" s="42">
        <v>196</v>
      </c>
      <c r="G87" s="43" t="s">
        <v>147</v>
      </c>
      <c r="H87" s="40">
        <v>170000</v>
      </c>
      <c r="I87" s="40"/>
      <c r="J87" s="40"/>
      <c r="K87" s="40"/>
      <c r="L87" s="40">
        <f t="shared" si="6"/>
        <v>170000</v>
      </c>
      <c r="M87" s="40">
        <v>8193.2800000000007</v>
      </c>
      <c r="N87" s="40">
        <v>0</v>
      </c>
      <c r="O87" s="40">
        <v>0</v>
      </c>
      <c r="P87" s="40">
        <v>119325.15</v>
      </c>
      <c r="Q87" s="40">
        <v>0</v>
      </c>
      <c r="R87" s="40">
        <v>0</v>
      </c>
      <c r="S87" s="40">
        <v>0</v>
      </c>
      <c r="T87" s="40">
        <v>33823.5</v>
      </c>
      <c r="U87" s="40">
        <f>8193.28+8383.5</f>
        <v>16576.78</v>
      </c>
      <c r="V87" s="40">
        <f>P87</f>
        <v>119325.15</v>
      </c>
      <c r="W87" s="40">
        <f>25440</f>
        <v>25440</v>
      </c>
      <c r="X87" s="40"/>
      <c r="Y87" s="40"/>
      <c r="Z87" s="40">
        <f t="shared" si="7"/>
        <v>161341.93</v>
      </c>
      <c r="AA87" s="41">
        <f t="shared" si="8"/>
        <v>8658.070000000007</v>
      </c>
      <c r="AC87" s="12"/>
      <c r="AD87" s="12"/>
    </row>
    <row r="88" spans="6:31" ht="15.75" x14ac:dyDescent="0.25">
      <c r="F88" s="42">
        <v>197</v>
      </c>
      <c r="G88" s="43" t="s">
        <v>212</v>
      </c>
      <c r="H88" s="40"/>
      <c r="I88" s="40"/>
      <c r="J88" s="40"/>
      <c r="K88" s="40"/>
      <c r="L88" s="40"/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>
        <v>0</v>
      </c>
      <c r="U88" s="40"/>
      <c r="V88" s="40"/>
      <c r="W88" s="40"/>
      <c r="X88" s="40"/>
      <c r="Y88" s="40"/>
      <c r="Z88" s="40">
        <f t="shared" si="7"/>
        <v>0</v>
      </c>
      <c r="AA88" s="41">
        <f t="shared" si="8"/>
        <v>0</v>
      </c>
      <c r="AC88" s="12"/>
      <c r="AD88" s="12"/>
    </row>
    <row r="89" spans="6:31" ht="15.75" x14ac:dyDescent="0.25">
      <c r="F89" s="42">
        <v>199</v>
      </c>
      <c r="G89" s="43" t="s">
        <v>148</v>
      </c>
      <c r="H89" s="40">
        <v>272500</v>
      </c>
      <c r="I89" s="40"/>
      <c r="J89" s="40"/>
      <c r="K89" s="40"/>
      <c r="L89" s="40">
        <f t="shared" si="6"/>
        <v>272500</v>
      </c>
      <c r="M89" s="40">
        <v>0</v>
      </c>
      <c r="N89" s="40">
        <v>176.6</v>
      </c>
      <c r="O89" s="40">
        <v>3085</v>
      </c>
      <c r="P89" s="40">
        <v>2024</v>
      </c>
      <c r="Q89" s="40">
        <v>6845</v>
      </c>
      <c r="R89" s="40">
        <v>1450</v>
      </c>
      <c r="S89" s="40">
        <v>1610</v>
      </c>
      <c r="T89" s="40">
        <v>10150</v>
      </c>
      <c r="U89" s="50">
        <f>N89+185+15+110+25</f>
        <v>511.6</v>
      </c>
      <c r="V89" s="40">
        <f>574+5280+1680</f>
        <v>7534</v>
      </c>
      <c r="W89" s="50">
        <f>2900+1450+1550+1450+1500+8445</f>
        <v>17295</v>
      </c>
      <c r="X89" s="40"/>
      <c r="Y89" s="40"/>
      <c r="Z89" s="40">
        <f t="shared" si="7"/>
        <v>25340.6</v>
      </c>
      <c r="AA89" s="41">
        <f t="shared" si="8"/>
        <v>247159.4</v>
      </c>
      <c r="AD89" s="12"/>
    </row>
    <row r="90" spans="6:31" ht="15.75" x14ac:dyDescent="0.25">
      <c r="F90" s="66"/>
      <c r="G90" s="39" t="s">
        <v>149</v>
      </c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1"/>
      <c r="AD90" s="12"/>
    </row>
    <row r="91" spans="6:31" ht="15.75" x14ac:dyDescent="0.25">
      <c r="F91" s="66"/>
      <c r="G91" s="39" t="s">
        <v>150</v>
      </c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1"/>
      <c r="AD91" s="12"/>
    </row>
    <row r="92" spans="6:31" ht="15.75" x14ac:dyDescent="0.25">
      <c r="F92" s="42" t="s">
        <v>151</v>
      </c>
      <c r="G92" s="43" t="s">
        <v>152</v>
      </c>
      <c r="H92" s="40">
        <f>190000+10000+44727.83</f>
        <v>244727.83000000002</v>
      </c>
      <c r="I92" s="40">
        <f>12600+1281.3</f>
        <v>13881.3</v>
      </c>
      <c r="J92" s="40"/>
      <c r="K92" s="40"/>
      <c r="L92" s="40">
        <f t="shared" si="6"/>
        <v>258609.13</v>
      </c>
      <c r="M92" s="40">
        <v>16688.7</v>
      </c>
      <c r="N92" s="40">
        <v>24103.05</v>
      </c>
      <c r="O92" s="40">
        <v>4532.74</v>
      </c>
      <c r="P92" s="40">
        <v>12935.04</v>
      </c>
      <c r="Q92" s="40">
        <v>4009.4</v>
      </c>
      <c r="R92" s="40">
        <v>46964.3</v>
      </c>
      <c r="S92" s="40">
        <v>21688.05</v>
      </c>
      <c r="T92" s="40">
        <v>29399</v>
      </c>
      <c r="U92" s="40">
        <f>16688.7+3537+1635+3646+3129.3+2327+955+12809</f>
        <v>44727</v>
      </c>
      <c r="V92" s="40">
        <f>15052.23+418+9091.04+40600+7646</f>
        <v>72807.27</v>
      </c>
      <c r="W92" s="40">
        <f>5513.82+2479.74+198+880.1+4037.3+20733.05+8944</f>
        <v>42786.009999999995</v>
      </c>
      <c r="X92" s="40"/>
      <c r="Y92" s="40"/>
      <c r="Z92" s="40">
        <f t="shared" si="7"/>
        <v>160320.28000000003</v>
      </c>
      <c r="AA92" s="41">
        <f t="shared" ref="AA92:AA101" si="9">+L92-Z92</f>
        <v>98288.849999999977</v>
      </c>
      <c r="AD92" s="12"/>
    </row>
    <row r="93" spans="6:31" ht="15.75" x14ac:dyDescent="0.25">
      <c r="F93" s="42">
        <v>214</v>
      </c>
      <c r="G93" s="43" t="s">
        <v>153</v>
      </c>
      <c r="H93" s="40">
        <v>77000</v>
      </c>
      <c r="I93" s="40"/>
      <c r="J93" s="40"/>
      <c r="K93" s="40"/>
      <c r="L93" s="40">
        <f t="shared" si="6"/>
        <v>77000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>
        <v>0</v>
      </c>
      <c r="U93" s="40"/>
      <c r="V93" s="40"/>
      <c r="W93" s="40"/>
      <c r="X93" s="40"/>
      <c r="Y93" s="40"/>
      <c r="Z93" s="40">
        <f t="shared" si="7"/>
        <v>0</v>
      </c>
      <c r="AA93" s="41">
        <f t="shared" si="9"/>
        <v>77000</v>
      </c>
      <c r="AD93" s="12"/>
    </row>
    <row r="94" spans="6:31" ht="15.75" x14ac:dyDescent="0.25">
      <c r="F94" s="42">
        <v>233</v>
      </c>
      <c r="G94" s="43" t="s">
        <v>154</v>
      </c>
      <c r="H94" s="40">
        <f>115000+10000</f>
        <v>125000</v>
      </c>
      <c r="I94" s="40">
        <v>2275</v>
      </c>
      <c r="J94" s="40"/>
      <c r="K94" s="40"/>
      <c r="L94" s="40">
        <f t="shared" si="6"/>
        <v>127275</v>
      </c>
      <c r="M94" s="40">
        <v>0</v>
      </c>
      <c r="N94" s="40">
        <v>9200</v>
      </c>
      <c r="O94" s="40">
        <v>54390</v>
      </c>
      <c r="P94" s="40">
        <v>0</v>
      </c>
      <c r="Q94" s="40">
        <v>0</v>
      </c>
      <c r="R94" s="40">
        <v>0</v>
      </c>
      <c r="S94" s="40">
        <v>0</v>
      </c>
      <c r="T94" s="40">
        <v>3720</v>
      </c>
      <c r="U94" s="40"/>
      <c r="V94" s="40">
        <f>O94</f>
        <v>54390</v>
      </c>
      <c r="W94" s="40">
        <f>N94+T94</f>
        <v>12920</v>
      </c>
      <c r="X94" s="40"/>
      <c r="Y94" s="40"/>
      <c r="Z94" s="40">
        <f t="shared" si="7"/>
        <v>67310</v>
      </c>
      <c r="AA94" s="41">
        <f t="shared" si="9"/>
        <v>59965</v>
      </c>
      <c r="AD94" s="12"/>
    </row>
    <row r="95" spans="6:31" ht="15.75" x14ac:dyDescent="0.25">
      <c r="F95" s="42">
        <v>239</v>
      </c>
      <c r="G95" s="43" t="s">
        <v>155</v>
      </c>
      <c r="H95" s="40">
        <v>5000</v>
      </c>
      <c r="I95" s="40"/>
      <c r="J95" s="40"/>
      <c r="K95" s="40"/>
      <c r="L95" s="40">
        <f t="shared" si="6"/>
        <v>5000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>
        <v>0</v>
      </c>
      <c r="U95" s="40"/>
      <c r="V95" s="40"/>
      <c r="W95" s="40"/>
      <c r="X95" s="40"/>
      <c r="Y95" s="40"/>
      <c r="Z95" s="40">
        <f t="shared" si="7"/>
        <v>0</v>
      </c>
      <c r="AA95" s="41">
        <f t="shared" si="9"/>
        <v>5000</v>
      </c>
      <c r="AD95" s="12"/>
    </row>
    <row r="96" spans="6:31" ht="15.75" x14ac:dyDescent="0.25">
      <c r="F96" s="42">
        <v>241</v>
      </c>
      <c r="G96" s="43" t="s">
        <v>156</v>
      </c>
      <c r="H96" s="40">
        <v>2100</v>
      </c>
      <c r="I96" s="40"/>
      <c r="J96" s="40"/>
      <c r="K96" s="40"/>
      <c r="L96" s="40">
        <f t="shared" si="6"/>
        <v>2100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>
        <v>0</v>
      </c>
      <c r="U96" s="40"/>
      <c r="V96" s="40"/>
      <c r="W96" s="40"/>
      <c r="X96" s="40"/>
      <c r="Y96" s="40"/>
      <c r="Z96" s="40">
        <f t="shared" si="7"/>
        <v>0</v>
      </c>
      <c r="AA96" s="41">
        <f t="shared" si="9"/>
        <v>2100</v>
      </c>
      <c r="AD96" s="12"/>
    </row>
    <row r="97" spans="6:30" ht="15.75" x14ac:dyDescent="0.25">
      <c r="F97" s="42">
        <v>242</v>
      </c>
      <c r="G97" s="43" t="s">
        <v>226</v>
      </c>
      <c r="H97" s="40"/>
      <c r="I97" s="40"/>
      <c r="J97" s="40">
        <v>5000</v>
      </c>
      <c r="K97" s="40"/>
      <c r="L97" s="40">
        <f t="shared" si="6"/>
        <v>5000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179</v>
      </c>
      <c r="T97" s="40">
        <v>0</v>
      </c>
      <c r="U97" s="40">
        <v>179</v>
      </c>
      <c r="V97" s="40"/>
      <c r="W97" s="40"/>
      <c r="X97" s="40"/>
      <c r="Y97" s="40"/>
      <c r="Z97" s="40">
        <f t="shared" si="7"/>
        <v>179</v>
      </c>
      <c r="AA97" s="41">
        <f t="shared" si="9"/>
        <v>4821</v>
      </c>
      <c r="AD97" s="12"/>
    </row>
    <row r="98" spans="6:30" ht="15.75" x14ac:dyDescent="0.25">
      <c r="F98" s="42">
        <v>244</v>
      </c>
      <c r="G98" s="43" t="s">
        <v>157</v>
      </c>
      <c r="H98" s="40"/>
      <c r="I98" s="40"/>
      <c r="J98" s="40">
        <v>2624</v>
      </c>
      <c r="K98" s="40"/>
      <c r="L98" s="40">
        <f t="shared" si="6"/>
        <v>2624</v>
      </c>
      <c r="M98" s="40">
        <v>2624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0</v>
      </c>
      <c r="U98" s="40">
        <v>1476</v>
      </c>
      <c r="V98" s="40"/>
      <c r="W98" s="40">
        <v>1148</v>
      </c>
      <c r="X98" s="40"/>
      <c r="Y98" s="40"/>
      <c r="Z98" s="40">
        <f t="shared" si="7"/>
        <v>2624</v>
      </c>
      <c r="AA98" s="41">
        <f>+L98-Z98</f>
        <v>0</v>
      </c>
      <c r="AD98" s="12"/>
    </row>
    <row r="99" spans="6:30" ht="15.75" x14ac:dyDescent="0.25">
      <c r="F99" s="42">
        <v>245</v>
      </c>
      <c r="G99" s="43" t="s">
        <v>158</v>
      </c>
      <c r="H99" s="40">
        <v>1000</v>
      </c>
      <c r="I99" s="40"/>
      <c r="J99" s="40"/>
      <c r="K99" s="40"/>
      <c r="L99" s="40">
        <f t="shared" si="6"/>
        <v>1000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>
        <v>0</v>
      </c>
      <c r="U99" s="40"/>
      <c r="V99" s="40"/>
      <c r="W99" s="40"/>
      <c r="X99" s="40"/>
      <c r="Y99" s="40"/>
      <c r="Z99" s="40">
        <f t="shared" si="7"/>
        <v>0</v>
      </c>
      <c r="AA99" s="41">
        <f t="shared" si="9"/>
        <v>1000</v>
      </c>
      <c r="AD99" s="12"/>
    </row>
    <row r="100" spans="6:30" ht="15.75" x14ac:dyDescent="0.25">
      <c r="F100" s="42">
        <v>247</v>
      </c>
      <c r="G100" s="43" t="s">
        <v>159</v>
      </c>
      <c r="H100" s="40">
        <v>500</v>
      </c>
      <c r="I100" s="40"/>
      <c r="J100" s="40">
        <f>5000+20000</f>
        <v>25000</v>
      </c>
      <c r="K100" s="40"/>
      <c r="L100" s="40">
        <f t="shared" si="6"/>
        <v>25500</v>
      </c>
      <c r="M100" s="40">
        <v>0</v>
      </c>
      <c r="N100" s="40">
        <v>0</v>
      </c>
      <c r="O100" s="40">
        <v>0</v>
      </c>
      <c r="P100" s="40">
        <v>0</v>
      </c>
      <c r="Q100" s="40">
        <v>2244</v>
      </c>
      <c r="R100" s="40">
        <v>13600</v>
      </c>
      <c r="S100" s="40">
        <v>0</v>
      </c>
      <c r="T100" s="40">
        <v>486.8</v>
      </c>
      <c r="U100" s="40">
        <f>Q100+R100+T100</f>
        <v>16330.8</v>
      </c>
      <c r="V100" s="40"/>
      <c r="W100" s="40"/>
      <c r="X100" s="40"/>
      <c r="Y100" s="40"/>
      <c r="Z100" s="40">
        <f t="shared" si="7"/>
        <v>16330.8</v>
      </c>
      <c r="AA100" s="41">
        <f t="shared" si="9"/>
        <v>9169.2000000000007</v>
      </c>
      <c r="AD100" s="12"/>
    </row>
    <row r="101" spans="6:30" ht="15.75" x14ac:dyDescent="0.25">
      <c r="F101" s="42">
        <v>249</v>
      </c>
      <c r="G101" s="43" t="s">
        <v>160</v>
      </c>
      <c r="H101" s="40">
        <v>1000</v>
      </c>
      <c r="I101" s="40"/>
      <c r="J101" s="40"/>
      <c r="K101" s="40"/>
      <c r="L101" s="40">
        <f t="shared" si="6"/>
        <v>1000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>
        <v>0</v>
      </c>
      <c r="U101" s="40"/>
      <c r="V101" s="40"/>
      <c r="W101" s="40"/>
      <c r="X101" s="40"/>
      <c r="Y101" s="40"/>
      <c r="Z101" s="40">
        <f t="shared" si="7"/>
        <v>0</v>
      </c>
      <c r="AA101" s="41">
        <f t="shared" si="9"/>
        <v>1000</v>
      </c>
      <c r="AD101" s="12"/>
    </row>
    <row r="102" spans="6:30" ht="15.75" x14ac:dyDescent="0.25">
      <c r="F102" s="42"/>
      <c r="G102" s="39" t="s">
        <v>161</v>
      </c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1"/>
      <c r="AD102" s="12"/>
    </row>
    <row r="103" spans="6:30" ht="15.75" x14ac:dyDescent="0.25">
      <c r="F103" s="42" t="s">
        <v>162</v>
      </c>
      <c r="G103" s="43" t="s">
        <v>163</v>
      </c>
      <c r="H103" s="40">
        <v>26000</v>
      </c>
      <c r="I103" s="40"/>
      <c r="J103" s="40"/>
      <c r="K103" s="40"/>
      <c r="L103" s="40">
        <f t="shared" si="6"/>
        <v>26000</v>
      </c>
      <c r="M103" s="40">
        <v>0</v>
      </c>
      <c r="N103" s="40">
        <v>0</v>
      </c>
      <c r="O103" s="40">
        <v>210</v>
      </c>
      <c r="P103" s="40">
        <v>2450</v>
      </c>
      <c r="Q103" s="40">
        <v>62.01</v>
      </c>
      <c r="R103" s="40">
        <v>300</v>
      </c>
      <c r="S103" s="40">
        <v>245</v>
      </c>
      <c r="T103" s="40">
        <v>150</v>
      </c>
      <c r="U103" s="40">
        <f>O103+150+300+245+T103</f>
        <v>1055</v>
      </c>
      <c r="V103" s="40">
        <v>2300</v>
      </c>
      <c r="W103" s="40">
        <f>Q103</f>
        <v>62.01</v>
      </c>
      <c r="X103" s="40"/>
      <c r="Y103" s="40"/>
      <c r="Z103" s="40">
        <f t="shared" si="7"/>
        <v>3417.01</v>
      </c>
      <c r="AA103" s="41">
        <f>+L103-Z103</f>
        <v>22582.989999999998</v>
      </c>
      <c r="AD103" s="12"/>
    </row>
    <row r="104" spans="6:30" ht="15.75" x14ac:dyDescent="0.25">
      <c r="F104" s="42">
        <v>264</v>
      </c>
      <c r="G104" s="43" t="s">
        <v>213</v>
      </c>
      <c r="H104" s="40"/>
      <c r="I104" s="40"/>
      <c r="J104" s="40"/>
      <c r="K104" s="40"/>
      <c r="L104" s="40">
        <f t="shared" si="6"/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>
        <v>0</v>
      </c>
      <c r="U104" s="40"/>
      <c r="V104" s="40"/>
      <c r="W104" s="40"/>
      <c r="X104" s="40"/>
      <c r="Y104" s="40"/>
      <c r="Z104" s="40">
        <f t="shared" si="7"/>
        <v>0</v>
      </c>
      <c r="AA104" s="41">
        <f>+L104-Z104</f>
        <v>0</v>
      </c>
      <c r="AD104" s="12"/>
    </row>
    <row r="105" spans="6:30" ht="15.75" x14ac:dyDescent="0.25">
      <c r="F105" s="42" t="s">
        <v>164</v>
      </c>
      <c r="G105" s="43" t="s">
        <v>165</v>
      </c>
      <c r="H105" s="40">
        <v>5000</v>
      </c>
      <c r="I105" s="40"/>
      <c r="J105" s="40">
        <f>15000+45000</f>
        <v>60000</v>
      </c>
      <c r="K105" s="40"/>
      <c r="L105" s="40">
        <f t="shared" si="6"/>
        <v>65000</v>
      </c>
      <c r="M105" s="40">
        <v>0</v>
      </c>
      <c r="N105" s="40">
        <v>7846.12</v>
      </c>
      <c r="O105" s="40">
        <v>540</v>
      </c>
      <c r="P105" s="40">
        <v>7000</v>
      </c>
      <c r="Q105" s="40">
        <v>213.9</v>
      </c>
      <c r="R105" s="40">
        <v>6450</v>
      </c>
      <c r="S105" s="40">
        <v>1330</v>
      </c>
      <c r="T105" s="40">
        <v>0</v>
      </c>
      <c r="U105" s="40"/>
      <c r="V105" s="40">
        <f>7000</f>
        <v>7000</v>
      </c>
      <c r="W105" s="40">
        <f>N105+O105+213.9+R105+S105</f>
        <v>16380.019999999999</v>
      </c>
      <c r="X105" s="40"/>
      <c r="Y105" s="40"/>
      <c r="Z105" s="40">
        <f t="shared" si="7"/>
        <v>23380.019999999997</v>
      </c>
      <c r="AA105" s="41">
        <f>+L105-Z105</f>
        <v>41619.980000000003</v>
      </c>
      <c r="AD105" s="12"/>
    </row>
    <row r="106" spans="6:30" ht="15.75" x14ac:dyDescent="0.25">
      <c r="F106" s="42">
        <v>267</v>
      </c>
      <c r="G106" s="43" t="s">
        <v>166</v>
      </c>
      <c r="H106" s="40">
        <v>5000</v>
      </c>
      <c r="I106" s="40"/>
      <c r="J106" s="40"/>
      <c r="K106" s="40"/>
      <c r="L106" s="40">
        <f t="shared" si="6"/>
        <v>5000</v>
      </c>
      <c r="M106" s="40">
        <v>0</v>
      </c>
      <c r="N106" s="40">
        <v>0</v>
      </c>
      <c r="O106" s="40">
        <v>725</v>
      </c>
      <c r="P106" s="40">
        <v>0</v>
      </c>
      <c r="Q106" s="40">
        <v>0</v>
      </c>
      <c r="R106" s="40">
        <v>0</v>
      </c>
      <c r="S106" s="40">
        <v>0</v>
      </c>
      <c r="T106" s="40">
        <v>0</v>
      </c>
      <c r="U106" s="40">
        <f>O106</f>
        <v>725</v>
      </c>
      <c r="V106" s="40"/>
      <c r="W106" s="40"/>
      <c r="X106" s="40"/>
      <c r="Y106" s="40"/>
      <c r="Z106" s="40">
        <f t="shared" si="7"/>
        <v>725</v>
      </c>
      <c r="AA106" s="41">
        <f>+L106-Z106</f>
        <v>4275</v>
      </c>
      <c r="AD106" s="12"/>
    </row>
    <row r="107" spans="6:30" ht="15.75" x14ac:dyDescent="0.25">
      <c r="F107" s="42">
        <v>268</v>
      </c>
      <c r="G107" s="43" t="s">
        <v>167</v>
      </c>
      <c r="H107" s="40">
        <v>2500</v>
      </c>
      <c r="I107" s="40"/>
      <c r="J107" s="40">
        <v>5000</v>
      </c>
      <c r="K107" s="40"/>
      <c r="L107" s="40">
        <f t="shared" si="6"/>
        <v>7500</v>
      </c>
      <c r="M107" s="40">
        <v>0</v>
      </c>
      <c r="N107" s="40">
        <v>89.6</v>
      </c>
      <c r="O107" s="40">
        <v>0</v>
      </c>
      <c r="P107" s="40">
        <v>1902</v>
      </c>
      <c r="Q107" s="40">
        <v>0</v>
      </c>
      <c r="R107" s="40">
        <v>725</v>
      </c>
      <c r="S107" s="40">
        <v>1039.48</v>
      </c>
      <c r="T107" s="40">
        <v>24.93</v>
      </c>
      <c r="U107" s="40"/>
      <c r="V107" s="40">
        <f>P107+725+T107</f>
        <v>2651.93</v>
      </c>
      <c r="W107" s="40">
        <f>N107+S107</f>
        <v>1129.08</v>
      </c>
      <c r="X107" s="40"/>
      <c r="Y107" s="40"/>
      <c r="Z107" s="40">
        <f t="shared" si="7"/>
        <v>3781.0099999999998</v>
      </c>
      <c r="AA107" s="41">
        <f>+L107-Z107</f>
        <v>3718.9900000000002</v>
      </c>
      <c r="AD107" s="12"/>
    </row>
    <row r="108" spans="6:30" ht="15.75" x14ac:dyDescent="0.25">
      <c r="F108" s="42"/>
      <c r="G108" s="39" t="s">
        <v>168</v>
      </c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1"/>
      <c r="AD108" s="12"/>
    </row>
    <row r="109" spans="6:30" ht="18.75" customHeight="1" x14ac:dyDescent="0.25">
      <c r="F109" s="42">
        <v>272</v>
      </c>
      <c r="G109" s="43" t="s">
        <v>169</v>
      </c>
      <c r="H109" s="40"/>
      <c r="I109" s="40"/>
      <c r="J109" s="40"/>
      <c r="K109" s="40"/>
      <c r="L109" s="40">
        <f t="shared" si="6"/>
        <v>0</v>
      </c>
      <c r="M109" s="40">
        <v>0</v>
      </c>
      <c r="N109" s="40">
        <v>0</v>
      </c>
      <c r="O109" s="40">
        <v>0</v>
      </c>
      <c r="P109" s="40">
        <v>0</v>
      </c>
      <c r="Q109" s="40">
        <v>0</v>
      </c>
      <c r="R109" s="40">
        <v>0</v>
      </c>
      <c r="S109" s="40">
        <v>0</v>
      </c>
      <c r="T109" s="40">
        <v>0</v>
      </c>
      <c r="U109" s="40"/>
      <c r="V109" s="40"/>
      <c r="W109" s="40"/>
      <c r="X109" s="40"/>
      <c r="Y109" s="40"/>
      <c r="Z109" s="40">
        <f t="shared" si="7"/>
        <v>0</v>
      </c>
      <c r="AA109" s="41">
        <f>+L109-Z109</f>
        <v>0</v>
      </c>
      <c r="AD109" s="12"/>
    </row>
    <row r="110" spans="6:30" ht="15.75" x14ac:dyDescent="0.25">
      <c r="F110" s="42">
        <v>275</v>
      </c>
      <c r="G110" s="44" t="s">
        <v>170</v>
      </c>
      <c r="H110" s="40">
        <v>6000</v>
      </c>
      <c r="I110" s="40"/>
      <c r="J110" s="40"/>
      <c r="K110" s="40"/>
      <c r="L110" s="40">
        <f t="shared" si="6"/>
        <v>6000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/>
      <c r="V110" s="40"/>
      <c r="W110" s="40"/>
      <c r="X110" s="40"/>
      <c r="Y110" s="40"/>
      <c r="Z110" s="40">
        <f t="shared" si="7"/>
        <v>0</v>
      </c>
      <c r="AA110" s="41">
        <f>+L110-Z110</f>
        <v>6000</v>
      </c>
      <c r="AD110" s="12"/>
    </row>
    <row r="111" spans="6:30" ht="15.75" x14ac:dyDescent="0.25">
      <c r="F111" s="42">
        <v>279</v>
      </c>
      <c r="G111" s="44" t="s">
        <v>171</v>
      </c>
      <c r="H111" s="40"/>
      <c r="I111" s="40"/>
      <c r="J111" s="40"/>
      <c r="K111" s="40"/>
      <c r="L111" s="40">
        <f t="shared" si="6"/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>
        <v>0</v>
      </c>
      <c r="U111" s="40"/>
      <c r="V111" s="40"/>
      <c r="W111" s="40"/>
      <c r="X111" s="40"/>
      <c r="Y111" s="40"/>
      <c r="Z111" s="40">
        <f t="shared" si="7"/>
        <v>0</v>
      </c>
      <c r="AA111" s="41">
        <f>+L111-Z111</f>
        <v>0</v>
      </c>
      <c r="AD111" s="12"/>
    </row>
    <row r="112" spans="6:30" ht="15.75" x14ac:dyDescent="0.25">
      <c r="F112" s="42">
        <v>283</v>
      </c>
      <c r="G112" s="43" t="s">
        <v>172</v>
      </c>
      <c r="H112" s="40">
        <v>2500</v>
      </c>
      <c r="I112" s="40"/>
      <c r="J112" s="40">
        <v>10000</v>
      </c>
      <c r="K112" s="40"/>
      <c r="L112" s="40">
        <f t="shared" si="6"/>
        <v>12500</v>
      </c>
      <c r="M112" s="40">
        <v>0</v>
      </c>
      <c r="N112" s="40">
        <v>0</v>
      </c>
      <c r="O112" s="40">
        <v>5412.12</v>
      </c>
      <c r="P112" s="40">
        <v>0</v>
      </c>
      <c r="Q112" s="40">
        <v>0</v>
      </c>
      <c r="R112" s="40">
        <v>0</v>
      </c>
      <c r="S112" s="40">
        <v>0</v>
      </c>
      <c r="T112" s="40">
        <v>0</v>
      </c>
      <c r="U112" s="40"/>
      <c r="V112" s="40"/>
      <c r="W112" s="40">
        <f>O112</f>
        <v>5412.12</v>
      </c>
      <c r="X112" s="40"/>
      <c r="Y112" s="40"/>
      <c r="Z112" s="40">
        <f t="shared" si="7"/>
        <v>5412.12</v>
      </c>
      <c r="AA112" s="41">
        <f>+L112-Z112</f>
        <v>7087.88</v>
      </c>
      <c r="AD112" s="12"/>
    </row>
    <row r="113" spans="6:30" ht="15.75" x14ac:dyDescent="0.25">
      <c r="F113" s="42"/>
      <c r="G113" s="39" t="s">
        <v>173</v>
      </c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1"/>
      <c r="AD113" s="12"/>
    </row>
    <row r="114" spans="6:30" ht="15.75" x14ac:dyDescent="0.25">
      <c r="F114" s="42" t="s">
        <v>174</v>
      </c>
      <c r="G114" s="43" t="s">
        <v>175</v>
      </c>
      <c r="H114" s="40">
        <v>65000</v>
      </c>
      <c r="I114" s="40"/>
      <c r="J114" s="40"/>
      <c r="K114" s="40"/>
      <c r="L114" s="40">
        <f t="shared" si="6"/>
        <v>65000</v>
      </c>
      <c r="M114" s="40">
        <v>0</v>
      </c>
      <c r="N114" s="40">
        <v>0</v>
      </c>
      <c r="O114" s="40">
        <v>11845.65</v>
      </c>
      <c r="P114" s="40">
        <v>0</v>
      </c>
      <c r="Q114" s="40">
        <v>0</v>
      </c>
      <c r="R114" s="40">
        <v>0</v>
      </c>
      <c r="S114" s="40">
        <v>45.29</v>
      </c>
      <c r="T114" s="40">
        <v>0</v>
      </c>
      <c r="U114" s="40">
        <f>O114+S114</f>
        <v>11890.94</v>
      </c>
      <c r="V114" s="40"/>
      <c r="W114" s="40"/>
      <c r="X114" s="40"/>
      <c r="Y114" s="40"/>
      <c r="Z114" s="40">
        <f t="shared" si="7"/>
        <v>11890.94</v>
      </c>
      <c r="AA114" s="41">
        <f t="shared" ref="AA114:AA121" si="10">+L114-Z114</f>
        <v>53109.06</v>
      </c>
      <c r="AD114" s="12"/>
    </row>
    <row r="115" spans="6:30" ht="15.75" x14ac:dyDescent="0.25">
      <c r="F115" s="42">
        <v>292</v>
      </c>
      <c r="G115" s="43" t="s">
        <v>176</v>
      </c>
      <c r="H115" s="40">
        <v>17841.150000000001</v>
      </c>
      <c r="I115" s="40"/>
      <c r="J115" s="40"/>
      <c r="K115" s="40"/>
      <c r="L115" s="40">
        <f t="shared" si="6"/>
        <v>17841.150000000001</v>
      </c>
      <c r="M115" s="40">
        <v>0</v>
      </c>
      <c r="N115" s="40">
        <v>3765.3</v>
      </c>
      <c r="O115" s="40">
        <v>4806.04</v>
      </c>
      <c r="P115" s="40">
        <v>4347.99</v>
      </c>
      <c r="Q115" s="40">
        <v>116.83</v>
      </c>
      <c r="R115" s="40">
        <v>0</v>
      </c>
      <c r="S115" s="40">
        <v>0</v>
      </c>
      <c r="T115" s="40">
        <v>3156</v>
      </c>
      <c r="U115" s="40">
        <f>N115</f>
        <v>3765.3</v>
      </c>
      <c r="V115" s="40">
        <f>79.99+60</f>
        <v>139.99</v>
      </c>
      <c r="W115" s="40">
        <f>O115+4208+116.83+T115</f>
        <v>12286.87</v>
      </c>
      <c r="X115" s="40"/>
      <c r="Y115" s="40"/>
      <c r="Z115" s="40">
        <f t="shared" si="7"/>
        <v>16192.16</v>
      </c>
      <c r="AA115" s="41">
        <f t="shared" si="10"/>
        <v>1648.9900000000016</v>
      </c>
      <c r="AD115" s="12"/>
    </row>
    <row r="116" spans="6:30" ht="15.75" x14ac:dyDescent="0.25">
      <c r="F116" s="42" t="s">
        <v>177</v>
      </c>
      <c r="G116" s="43" t="s">
        <v>178</v>
      </c>
      <c r="H116" s="40">
        <v>525663.43999999994</v>
      </c>
      <c r="I116" s="40">
        <v>1200</v>
      </c>
      <c r="J116" s="40"/>
      <c r="K116" s="40"/>
      <c r="L116" s="40">
        <f t="shared" si="6"/>
        <v>526863.43999999994</v>
      </c>
      <c r="M116" s="40">
        <v>0</v>
      </c>
      <c r="N116" s="40">
        <v>1650</v>
      </c>
      <c r="O116" s="40">
        <v>1153.1500000000001</v>
      </c>
      <c r="P116" s="40">
        <v>19632.830000000002</v>
      </c>
      <c r="Q116" s="40">
        <v>4890</v>
      </c>
      <c r="R116" s="40">
        <v>6705</v>
      </c>
      <c r="S116" s="40">
        <v>450</v>
      </c>
      <c r="T116" s="40">
        <v>7570</v>
      </c>
      <c r="U116" s="40"/>
      <c r="V116" s="40">
        <f>N116+8100+10812.83+1818</f>
        <v>22380.83</v>
      </c>
      <c r="W116" s="40">
        <f>O116+720+3072+6705+450+7570</f>
        <v>19670.150000000001</v>
      </c>
      <c r="X116" s="40"/>
      <c r="Y116" s="40"/>
      <c r="Z116" s="40">
        <f t="shared" si="7"/>
        <v>42050.98</v>
      </c>
      <c r="AA116" s="41">
        <f t="shared" si="10"/>
        <v>484812.45999999996</v>
      </c>
      <c r="AD116" s="12"/>
    </row>
    <row r="117" spans="6:30" ht="15.75" x14ac:dyDescent="0.25">
      <c r="F117" s="42">
        <v>295</v>
      </c>
      <c r="G117" s="43" t="s">
        <v>179</v>
      </c>
      <c r="H117" s="40">
        <v>6500</v>
      </c>
      <c r="I117" s="40"/>
      <c r="J117" s="40"/>
      <c r="K117" s="40"/>
      <c r="L117" s="40">
        <f t="shared" si="6"/>
        <v>6500</v>
      </c>
      <c r="M117" s="40">
        <v>0</v>
      </c>
      <c r="N117" s="40">
        <v>0</v>
      </c>
      <c r="O117" s="40">
        <v>0</v>
      </c>
      <c r="P117" s="40">
        <v>0</v>
      </c>
      <c r="Q117" s="40">
        <v>0</v>
      </c>
      <c r="R117" s="40">
        <v>0</v>
      </c>
      <c r="S117" s="40">
        <v>0</v>
      </c>
      <c r="T117" s="40">
        <v>0</v>
      </c>
      <c r="U117" s="40"/>
      <c r="V117" s="40"/>
      <c r="W117" s="40"/>
      <c r="X117" s="40"/>
      <c r="Y117" s="40"/>
      <c r="Z117" s="40">
        <f t="shared" si="7"/>
        <v>0</v>
      </c>
      <c r="AA117" s="41">
        <f t="shared" si="10"/>
        <v>6500</v>
      </c>
      <c r="AD117" s="12"/>
    </row>
    <row r="118" spans="6:30" ht="15.75" x14ac:dyDescent="0.25">
      <c r="F118" s="42">
        <v>296</v>
      </c>
      <c r="G118" s="43" t="s">
        <v>180</v>
      </c>
      <c r="H118" s="40">
        <v>1500</v>
      </c>
      <c r="I118" s="40"/>
      <c r="J118" s="40">
        <v>10000</v>
      </c>
      <c r="K118" s="40"/>
      <c r="L118" s="40">
        <f t="shared" si="6"/>
        <v>11500</v>
      </c>
      <c r="M118" s="40">
        <v>0</v>
      </c>
      <c r="N118" s="40">
        <v>0</v>
      </c>
      <c r="O118" s="40">
        <v>1948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f>O118</f>
        <v>1948</v>
      </c>
      <c r="V118" s="40"/>
      <c r="W118" s="40"/>
      <c r="X118" s="40"/>
      <c r="Y118" s="40"/>
      <c r="Z118" s="40">
        <f t="shared" si="7"/>
        <v>1948</v>
      </c>
      <c r="AA118" s="41">
        <f t="shared" si="10"/>
        <v>9552</v>
      </c>
      <c r="AD118" s="12"/>
    </row>
    <row r="119" spans="6:30" ht="15.75" x14ac:dyDescent="0.25">
      <c r="F119" s="42">
        <v>297</v>
      </c>
      <c r="G119" s="43" t="s">
        <v>181</v>
      </c>
      <c r="H119" s="40">
        <v>2500</v>
      </c>
      <c r="I119" s="40"/>
      <c r="J119" s="40"/>
      <c r="K119" s="40"/>
      <c r="L119" s="40">
        <f t="shared" si="6"/>
        <v>2500</v>
      </c>
      <c r="M119" s="40">
        <v>0</v>
      </c>
      <c r="N119" s="40">
        <v>0</v>
      </c>
      <c r="O119" s="40">
        <v>0</v>
      </c>
      <c r="P119" s="40">
        <v>225</v>
      </c>
      <c r="Q119" s="40">
        <v>0</v>
      </c>
      <c r="R119" s="40">
        <v>0</v>
      </c>
      <c r="S119" s="40">
        <v>0</v>
      </c>
      <c r="T119" s="40">
        <v>955</v>
      </c>
      <c r="U119" s="40">
        <v>225</v>
      </c>
      <c r="V119" s="40"/>
      <c r="W119" s="40">
        <v>955</v>
      </c>
      <c r="X119" s="40"/>
      <c r="Y119" s="40"/>
      <c r="Z119" s="40">
        <f t="shared" si="7"/>
        <v>1180</v>
      </c>
      <c r="AA119" s="41">
        <f t="shared" si="10"/>
        <v>1320</v>
      </c>
      <c r="AD119" s="12"/>
    </row>
    <row r="120" spans="6:30" ht="15.75" x14ac:dyDescent="0.25">
      <c r="F120" s="42">
        <v>298</v>
      </c>
      <c r="G120" s="43" t="s">
        <v>182</v>
      </c>
      <c r="H120" s="40">
        <v>12500</v>
      </c>
      <c r="I120" s="40"/>
      <c r="J120" s="40"/>
      <c r="K120" s="40"/>
      <c r="L120" s="40">
        <f t="shared" si="6"/>
        <v>12500</v>
      </c>
      <c r="M120" s="40">
        <v>0</v>
      </c>
      <c r="N120" s="40">
        <v>872</v>
      </c>
      <c r="O120" s="40">
        <v>0</v>
      </c>
      <c r="P120" s="40">
        <v>218.4</v>
      </c>
      <c r="Q120" s="40">
        <v>0</v>
      </c>
      <c r="R120" s="40">
        <v>0</v>
      </c>
      <c r="S120" s="40">
        <v>850</v>
      </c>
      <c r="T120" s="40">
        <v>4362.25</v>
      </c>
      <c r="U120" s="40">
        <f>N120</f>
        <v>872</v>
      </c>
      <c r="V120" s="40"/>
      <c r="W120" s="40">
        <f>218.4+850+4362.25</f>
        <v>5430.65</v>
      </c>
      <c r="X120" s="40"/>
      <c r="Y120" s="40"/>
      <c r="Z120" s="40">
        <f t="shared" si="7"/>
        <v>6302.65</v>
      </c>
      <c r="AA120" s="41">
        <f t="shared" si="10"/>
        <v>6197.35</v>
      </c>
      <c r="AD120" s="12"/>
    </row>
    <row r="121" spans="6:30" ht="15.75" x14ac:dyDescent="0.25">
      <c r="F121" s="42" t="s">
        <v>183</v>
      </c>
      <c r="G121" s="43" t="s">
        <v>184</v>
      </c>
      <c r="H121" s="40">
        <v>15000</v>
      </c>
      <c r="I121" s="40"/>
      <c r="J121" s="40"/>
      <c r="K121" s="40"/>
      <c r="L121" s="40">
        <f t="shared" si="6"/>
        <v>15000</v>
      </c>
      <c r="M121" s="40">
        <v>0</v>
      </c>
      <c r="N121" s="40">
        <v>4094.1</v>
      </c>
      <c r="O121" s="40">
        <v>2473.62</v>
      </c>
      <c r="P121" s="40">
        <v>1531.5</v>
      </c>
      <c r="Q121" s="40">
        <v>0</v>
      </c>
      <c r="R121" s="40">
        <v>0</v>
      </c>
      <c r="S121" s="40">
        <v>0</v>
      </c>
      <c r="T121" s="40">
        <v>0</v>
      </c>
      <c r="U121" s="40">
        <f>N121+202.2</f>
        <v>4296.3</v>
      </c>
      <c r="V121" s="40">
        <f>P121</f>
        <v>1531.5</v>
      </c>
      <c r="W121" s="40">
        <f>2271.42</f>
        <v>2271.42</v>
      </c>
      <c r="X121" s="40"/>
      <c r="Y121" s="40"/>
      <c r="Z121" s="40">
        <f t="shared" si="7"/>
        <v>8099.2199999999993</v>
      </c>
      <c r="AA121" s="41">
        <f t="shared" si="10"/>
        <v>6900.7800000000007</v>
      </c>
      <c r="AD121" s="12"/>
    </row>
    <row r="122" spans="6:30" ht="15.75" x14ac:dyDescent="0.25">
      <c r="F122" s="42"/>
      <c r="G122" s="39" t="s">
        <v>185</v>
      </c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1"/>
      <c r="AD122" s="12"/>
    </row>
    <row r="123" spans="6:30" ht="15.75" x14ac:dyDescent="0.25">
      <c r="F123" s="42" t="s">
        <v>186</v>
      </c>
      <c r="G123" s="43" t="s">
        <v>187</v>
      </c>
      <c r="H123" s="40">
        <v>125000</v>
      </c>
      <c r="I123" s="40"/>
      <c r="J123" s="40"/>
      <c r="K123" s="40"/>
      <c r="L123" s="40">
        <f t="shared" si="6"/>
        <v>125000</v>
      </c>
      <c r="M123" s="40">
        <v>0</v>
      </c>
      <c r="N123" s="40">
        <v>0</v>
      </c>
      <c r="O123" s="40">
        <v>0</v>
      </c>
      <c r="P123" s="40">
        <v>0</v>
      </c>
      <c r="Q123" s="40">
        <v>7546.45</v>
      </c>
      <c r="R123" s="40">
        <v>0</v>
      </c>
      <c r="S123" s="40">
        <v>0</v>
      </c>
      <c r="T123" s="40">
        <v>0</v>
      </c>
      <c r="U123" s="40">
        <f>Q123</f>
        <v>7546.45</v>
      </c>
      <c r="V123" s="40"/>
      <c r="W123" s="40"/>
      <c r="X123" s="40"/>
      <c r="Y123" s="40"/>
      <c r="Z123" s="40">
        <f t="shared" si="7"/>
        <v>7546.45</v>
      </c>
      <c r="AA123" s="41">
        <f t="shared" ref="AA123:AA130" si="11">+L123-Z123</f>
        <v>117453.55</v>
      </c>
      <c r="AD123" s="12"/>
    </row>
    <row r="124" spans="6:30" ht="15.75" x14ac:dyDescent="0.25">
      <c r="F124" s="42">
        <v>323</v>
      </c>
      <c r="G124" s="43" t="s">
        <v>188</v>
      </c>
      <c r="H124" s="40">
        <v>10000</v>
      </c>
      <c r="I124" s="40"/>
      <c r="J124" s="40"/>
      <c r="K124" s="40"/>
      <c r="L124" s="40">
        <f t="shared" si="6"/>
        <v>10000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  <c r="R124" s="40">
        <v>7525</v>
      </c>
      <c r="S124" s="40">
        <v>0</v>
      </c>
      <c r="T124" s="40">
        <v>0</v>
      </c>
      <c r="U124" s="40"/>
      <c r="V124" s="40"/>
      <c r="W124" s="40">
        <f>R124</f>
        <v>7525</v>
      </c>
      <c r="X124" s="40"/>
      <c r="Y124" s="40"/>
      <c r="Z124" s="40">
        <f t="shared" si="7"/>
        <v>7525</v>
      </c>
      <c r="AA124" s="41">
        <f t="shared" si="11"/>
        <v>2475</v>
      </c>
      <c r="AD124" s="12"/>
    </row>
    <row r="125" spans="6:30" ht="15.75" x14ac:dyDescent="0.25">
      <c r="F125" s="42" t="s">
        <v>189</v>
      </c>
      <c r="G125" s="43" t="s">
        <v>190</v>
      </c>
      <c r="H125" s="40">
        <f>15000+50000+80000+257267.46+38000</f>
        <v>440267.45999999996</v>
      </c>
      <c r="I125" s="40"/>
      <c r="J125" s="40"/>
      <c r="K125" s="40"/>
      <c r="L125" s="40">
        <f t="shared" si="6"/>
        <v>440267.45999999996</v>
      </c>
      <c r="M125" s="40">
        <v>0</v>
      </c>
      <c r="N125" s="40">
        <v>0</v>
      </c>
      <c r="O125" s="40">
        <v>0</v>
      </c>
      <c r="P125" s="40">
        <v>0</v>
      </c>
      <c r="Q125" s="40">
        <v>0</v>
      </c>
      <c r="R125" s="40">
        <v>0</v>
      </c>
      <c r="S125" s="40">
        <v>0</v>
      </c>
      <c r="T125" s="40">
        <v>9656.75</v>
      </c>
      <c r="U125" s="40"/>
      <c r="V125" s="40"/>
      <c r="W125" s="40">
        <f>T125</f>
        <v>9656.75</v>
      </c>
      <c r="X125" s="40"/>
      <c r="Y125" s="40"/>
      <c r="Z125" s="40">
        <f t="shared" si="7"/>
        <v>9656.75</v>
      </c>
      <c r="AA125" s="41">
        <f t="shared" si="11"/>
        <v>430610.70999999996</v>
      </c>
      <c r="AD125" s="12"/>
    </row>
    <row r="126" spans="6:30" ht="15.75" x14ac:dyDescent="0.25">
      <c r="F126" s="42">
        <v>325</v>
      </c>
      <c r="G126" s="43" t="s">
        <v>214</v>
      </c>
      <c r="H126" s="40">
        <v>431000</v>
      </c>
      <c r="I126" s="40"/>
      <c r="J126" s="40"/>
      <c r="K126" s="40"/>
      <c r="L126" s="40">
        <f t="shared" si="6"/>
        <v>431000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>
        <v>0</v>
      </c>
      <c r="U126" s="40"/>
      <c r="V126" s="40"/>
      <c r="W126" s="40"/>
      <c r="X126" s="40"/>
      <c r="Y126" s="40"/>
      <c r="Z126" s="40">
        <f t="shared" si="7"/>
        <v>0</v>
      </c>
      <c r="AA126" s="41">
        <f t="shared" si="11"/>
        <v>431000</v>
      </c>
      <c r="AD126" s="12"/>
    </row>
    <row r="127" spans="6:30" ht="15.75" x14ac:dyDescent="0.25">
      <c r="F127" s="42">
        <v>326</v>
      </c>
      <c r="G127" s="43" t="s">
        <v>191</v>
      </c>
      <c r="H127" s="40">
        <v>1000</v>
      </c>
      <c r="I127" s="40"/>
      <c r="J127" s="40"/>
      <c r="K127" s="40"/>
      <c r="L127" s="40">
        <f t="shared" si="6"/>
        <v>1000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>
        <v>0</v>
      </c>
      <c r="U127" s="40"/>
      <c r="V127" s="40"/>
      <c r="W127" s="40"/>
      <c r="X127" s="40"/>
      <c r="Y127" s="40"/>
      <c r="Z127" s="40">
        <f t="shared" si="7"/>
        <v>0</v>
      </c>
      <c r="AA127" s="41">
        <f t="shared" si="11"/>
        <v>1000</v>
      </c>
      <c r="AD127" s="12"/>
    </row>
    <row r="128" spans="6:30" ht="15.75" x14ac:dyDescent="0.25">
      <c r="F128" s="42">
        <v>329</v>
      </c>
      <c r="G128" s="43" t="s">
        <v>192</v>
      </c>
      <c r="H128" s="40">
        <v>105000</v>
      </c>
      <c r="I128" s="40"/>
      <c r="J128" s="40"/>
      <c r="K128" s="40"/>
      <c r="L128" s="40">
        <f t="shared" si="6"/>
        <v>105000</v>
      </c>
      <c r="M128" s="40">
        <v>0</v>
      </c>
      <c r="N128" s="40">
        <v>0</v>
      </c>
      <c r="O128" s="40">
        <v>0</v>
      </c>
      <c r="P128" s="40">
        <v>0</v>
      </c>
      <c r="Q128" s="40">
        <v>0</v>
      </c>
      <c r="R128" s="40">
        <v>1063.48</v>
      </c>
      <c r="S128" s="40">
        <v>10094.6</v>
      </c>
      <c r="T128" s="40">
        <v>0</v>
      </c>
      <c r="U128" s="40"/>
      <c r="V128" s="40"/>
      <c r="W128" s="40">
        <f>R128+10094.6</f>
        <v>11158.08</v>
      </c>
      <c r="X128" s="40"/>
      <c r="Y128" s="40"/>
      <c r="Z128" s="40">
        <f t="shared" si="7"/>
        <v>11158.08</v>
      </c>
      <c r="AA128" s="41">
        <f t="shared" si="11"/>
        <v>93841.919999999998</v>
      </c>
      <c r="AD128" s="12"/>
    </row>
    <row r="129" spans="6:31" ht="15.75" x14ac:dyDescent="0.25">
      <c r="F129" s="42">
        <v>328</v>
      </c>
      <c r="G129" s="43" t="s">
        <v>193</v>
      </c>
      <c r="H129" s="40">
        <v>2500</v>
      </c>
      <c r="I129" s="40"/>
      <c r="J129" s="40"/>
      <c r="K129" s="40"/>
      <c r="L129" s="40">
        <f t="shared" si="6"/>
        <v>2500</v>
      </c>
      <c r="M129" s="40">
        <v>0</v>
      </c>
      <c r="N129" s="40">
        <v>0</v>
      </c>
      <c r="O129" s="40">
        <v>0</v>
      </c>
      <c r="P129" s="40">
        <v>0</v>
      </c>
      <c r="Q129" s="40">
        <v>0</v>
      </c>
      <c r="R129" s="40">
        <v>0</v>
      </c>
      <c r="S129" s="40">
        <v>0</v>
      </c>
      <c r="T129" s="40">
        <v>0</v>
      </c>
      <c r="U129" s="40"/>
      <c r="V129" s="40"/>
      <c r="W129" s="40"/>
      <c r="X129" s="40"/>
      <c r="Y129" s="40"/>
      <c r="Z129" s="40">
        <f t="shared" si="7"/>
        <v>0</v>
      </c>
      <c r="AA129" s="41">
        <f t="shared" si="11"/>
        <v>2500</v>
      </c>
      <c r="AD129" s="12"/>
    </row>
    <row r="130" spans="6:31" ht="15.75" x14ac:dyDescent="0.25">
      <c r="F130" s="42" t="s">
        <v>194</v>
      </c>
      <c r="G130" s="43" t="s">
        <v>195</v>
      </c>
      <c r="H130" s="40">
        <v>0</v>
      </c>
      <c r="I130" s="40"/>
      <c r="J130" s="40"/>
      <c r="K130" s="40"/>
      <c r="L130" s="40">
        <f t="shared" si="6"/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>
        <v>0</v>
      </c>
      <c r="T130" s="40">
        <v>0</v>
      </c>
      <c r="U130" s="40"/>
      <c r="V130" s="40"/>
      <c r="W130" s="40"/>
      <c r="X130" s="40"/>
      <c r="Y130" s="40"/>
      <c r="Z130" s="40">
        <f t="shared" si="7"/>
        <v>0</v>
      </c>
      <c r="AA130" s="41">
        <f t="shared" si="11"/>
        <v>0</v>
      </c>
      <c r="AD130" s="12"/>
    </row>
    <row r="131" spans="6:31" ht="15.75" x14ac:dyDescent="0.25">
      <c r="F131" s="42"/>
      <c r="G131" s="39" t="s">
        <v>196</v>
      </c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1"/>
      <c r="AD131" s="12"/>
    </row>
    <row r="132" spans="6:31" ht="15.75" x14ac:dyDescent="0.25">
      <c r="F132" s="42">
        <v>413</v>
      </c>
      <c r="G132" s="43" t="s">
        <v>197</v>
      </c>
      <c r="H132" s="40">
        <v>191627.94</v>
      </c>
      <c r="I132" s="40"/>
      <c r="J132" s="40"/>
      <c r="K132" s="40"/>
      <c r="L132" s="40">
        <f t="shared" si="6"/>
        <v>191627.94</v>
      </c>
      <c r="M132" s="40">
        <v>0</v>
      </c>
      <c r="N132" s="40">
        <v>0</v>
      </c>
      <c r="O132" s="40">
        <v>0</v>
      </c>
      <c r="P132" s="40">
        <v>0</v>
      </c>
      <c r="Q132" s="40">
        <v>0</v>
      </c>
      <c r="R132" s="40">
        <v>0</v>
      </c>
      <c r="S132" s="40">
        <v>0</v>
      </c>
      <c r="T132" s="40">
        <v>0</v>
      </c>
      <c r="U132" s="40"/>
      <c r="V132" s="40"/>
      <c r="W132" s="40"/>
      <c r="X132" s="40"/>
      <c r="Y132" s="40"/>
      <c r="Z132" s="40">
        <f t="shared" si="7"/>
        <v>0</v>
      </c>
      <c r="AA132" s="41">
        <f>+L132-Z132</f>
        <v>191627.94</v>
      </c>
      <c r="AD132" s="12"/>
    </row>
    <row r="133" spans="6:31" ht="15.75" x14ac:dyDescent="0.25">
      <c r="F133" s="42">
        <v>416</v>
      </c>
      <c r="G133" s="43" t="s">
        <v>198</v>
      </c>
      <c r="H133" s="40"/>
      <c r="I133" s="40"/>
      <c r="J133" s="40"/>
      <c r="K133" s="40"/>
      <c r="L133" s="40">
        <f t="shared" si="6"/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>
        <v>0</v>
      </c>
      <c r="U133" s="40"/>
      <c r="V133" s="40"/>
      <c r="W133" s="40"/>
      <c r="X133" s="40"/>
      <c r="Y133" s="40"/>
      <c r="Z133" s="40">
        <f t="shared" si="7"/>
        <v>0</v>
      </c>
      <c r="AA133" s="41">
        <f>+L133-Z133</f>
        <v>0</v>
      </c>
      <c r="AD133" s="12"/>
    </row>
    <row r="134" spans="6:31" ht="15.75" x14ac:dyDescent="0.25">
      <c r="F134" s="42">
        <v>419</v>
      </c>
      <c r="G134" s="43" t="s">
        <v>199</v>
      </c>
      <c r="H134" s="40">
        <v>80996.25</v>
      </c>
      <c r="I134" s="40"/>
      <c r="J134" s="40">
        <v>425000</v>
      </c>
      <c r="K134" s="40"/>
      <c r="L134" s="40">
        <f t="shared" si="6"/>
        <v>505996.25</v>
      </c>
      <c r="M134" s="40">
        <v>0</v>
      </c>
      <c r="N134" s="40">
        <v>0</v>
      </c>
      <c r="O134" s="40">
        <v>4500</v>
      </c>
      <c r="P134" s="40">
        <v>4300</v>
      </c>
      <c r="Q134" s="40">
        <v>4400</v>
      </c>
      <c r="R134" s="40">
        <v>14150</v>
      </c>
      <c r="S134" s="40">
        <v>4500</v>
      </c>
      <c r="T134" s="40">
        <v>124500</v>
      </c>
      <c r="U134" s="40"/>
      <c r="V134" s="40">
        <f>O134+P134+Q134+R134+S134+T134</f>
        <v>156350</v>
      </c>
      <c r="W134" s="40"/>
      <c r="X134" s="40"/>
      <c r="Y134" s="40"/>
      <c r="Z134" s="40">
        <f t="shared" si="7"/>
        <v>156350</v>
      </c>
      <c r="AA134" s="41">
        <f>+L134-Z134</f>
        <v>349646.25</v>
      </c>
      <c r="AD134" s="12"/>
    </row>
    <row r="135" spans="6:31" ht="15.75" x14ac:dyDescent="0.25">
      <c r="F135" s="42">
        <v>472</v>
      </c>
      <c r="G135" s="43" t="s">
        <v>200</v>
      </c>
      <c r="H135" s="40">
        <v>490703.59</v>
      </c>
      <c r="I135" s="40"/>
      <c r="J135" s="40"/>
      <c r="K135" s="40"/>
      <c r="L135" s="40">
        <f>H135+I135+J135-K135</f>
        <v>490703.59</v>
      </c>
      <c r="M135" s="40">
        <v>0</v>
      </c>
      <c r="N135" s="40">
        <v>0</v>
      </c>
      <c r="O135" s="40">
        <v>229897.31</v>
      </c>
      <c r="P135" s="40">
        <v>59677.85</v>
      </c>
      <c r="Q135" s="40">
        <v>0</v>
      </c>
      <c r="R135" s="40">
        <v>0</v>
      </c>
      <c r="S135" s="40">
        <v>0</v>
      </c>
      <c r="T135" s="40">
        <v>0</v>
      </c>
      <c r="U135" s="40"/>
      <c r="V135" s="40">
        <f>O135+P135</f>
        <v>289575.15999999997</v>
      </c>
      <c r="W135" s="40"/>
      <c r="X135" s="40"/>
      <c r="Y135" s="40"/>
      <c r="Z135" s="40">
        <f t="shared" si="7"/>
        <v>289575.15999999997</v>
      </c>
      <c r="AA135" s="41">
        <f>+L135-Z135</f>
        <v>201128.43000000005</v>
      </c>
      <c r="AD135" s="12"/>
    </row>
    <row r="136" spans="6:31" ht="15.75" x14ac:dyDescent="0.25">
      <c r="F136" s="42"/>
      <c r="G136" s="39" t="s">
        <v>201</v>
      </c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Y136" s="40"/>
      <c r="Z136" s="40"/>
      <c r="AA136" s="41"/>
      <c r="AD136" s="12"/>
    </row>
    <row r="137" spans="6:31" ht="15.75" x14ac:dyDescent="0.25">
      <c r="F137" s="42">
        <v>991</v>
      </c>
      <c r="G137" s="43" t="s">
        <v>202</v>
      </c>
      <c r="H137" s="40">
        <v>12976336.9</v>
      </c>
      <c r="I137" s="40"/>
      <c r="J137" s="40"/>
      <c r="K137" s="40">
        <f>2624+15000+15000+20000+15000+100000+10000+10000+20000+100000+5000+2040+10000+20000+45000+5000+100000+50000+5000+30000+10000+9500+40444.06+425000</f>
        <v>1064608.06</v>
      </c>
      <c r="L137" s="40">
        <f t="shared" si="6"/>
        <v>11911728.84</v>
      </c>
      <c r="M137" s="40">
        <v>0</v>
      </c>
      <c r="N137" s="40">
        <v>0</v>
      </c>
      <c r="O137" s="40">
        <v>0</v>
      </c>
      <c r="P137" s="40">
        <v>0</v>
      </c>
      <c r="Q137" s="40">
        <v>0</v>
      </c>
      <c r="R137" s="40">
        <v>0</v>
      </c>
      <c r="S137" s="40">
        <v>0</v>
      </c>
      <c r="T137" s="40">
        <v>0</v>
      </c>
      <c r="U137" s="40"/>
      <c r="V137" s="40"/>
      <c r="W137" s="40"/>
      <c r="X137" s="40"/>
      <c r="Y137" s="40"/>
      <c r="Z137" s="40">
        <f t="shared" si="7"/>
        <v>0</v>
      </c>
      <c r="AA137" s="41">
        <f>+L137-Z137</f>
        <v>11911728.84</v>
      </c>
      <c r="AD137" s="12"/>
    </row>
    <row r="138" spans="6:31" ht="15.75" x14ac:dyDescent="0.25">
      <c r="F138" s="42"/>
      <c r="G138" s="67" t="s">
        <v>203</v>
      </c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1"/>
      <c r="AD138" s="12"/>
    </row>
    <row r="139" spans="6:31" ht="15.75" x14ac:dyDescent="0.25">
      <c r="F139" s="42"/>
      <c r="G139" s="68" t="s">
        <v>204</v>
      </c>
      <c r="H139" s="40">
        <v>0</v>
      </c>
      <c r="I139" s="40"/>
      <c r="J139" s="40"/>
      <c r="K139" s="40"/>
      <c r="L139" s="40">
        <f t="shared" si="6"/>
        <v>0</v>
      </c>
      <c r="M139" s="40">
        <v>530.88</v>
      </c>
      <c r="N139" s="40">
        <v>584.64</v>
      </c>
      <c r="O139" s="40">
        <v>584.64</v>
      </c>
      <c r="P139" s="40">
        <v>584.64</v>
      </c>
      <c r="Q139" s="40">
        <v>584.64</v>
      </c>
      <c r="R139" s="40">
        <v>584.64</v>
      </c>
      <c r="S139" s="40">
        <v>584.64</v>
      </c>
      <c r="T139" s="40">
        <v>584.64</v>
      </c>
      <c r="U139" s="40">
        <f>530.88+584.64+584.64+584.64+584.64+584.64+584.64+584.64</f>
        <v>4623.3599999999997</v>
      </c>
      <c r="V139" s="40"/>
      <c r="W139" s="40"/>
      <c r="X139" s="40"/>
      <c r="Y139" s="40"/>
      <c r="Z139" s="40">
        <f t="shared" si="7"/>
        <v>4623.3599999999997</v>
      </c>
      <c r="AA139" s="41">
        <f t="shared" ref="AA139:AA144" si="12">+L139-Z139</f>
        <v>-4623.3599999999997</v>
      </c>
      <c r="AD139" s="12"/>
    </row>
    <row r="140" spans="6:31" ht="15.75" x14ac:dyDescent="0.25">
      <c r="F140" s="42"/>
      <c r="G140" s="69" t="s">
        <v>205</v>
      </c>
      <c r="H140" s="40">
        <v>0</v>
      </c>
      <c r="I140" s="40"/>
      <c r="J140" s="40"/>
      <c r="K140" s="40"/>
      <c r="L140" s="40">
        <f t="shared" si="6"/>
        <v>0</v>
      </c>
      <c r="M140" s="40">
        <v>21797.38</v>
      </c>
      <c r="N140" s="40">
        <v>267.86</v>
      </c>
      <c r="O140" s="40">
        <v>3047.02</v>
      </c>
      <c r="P140" s="40">
        <v>8344.1200000000008</v>
      </c>
      <c r="Q140" s="40">
        <v>6949.46</v>
      </c>
      <c r="R140" s="40">
        <v>3292.33</v>
      </c>
      <c r="S140" s="40">
        <v>6872.2</v>
      </c>
      <c r="T140" s="40">
        <v>3749.74</v>
      </c>
      <c r="U140" s="40">
        <f>21797.38+267.86+3047.02+8344.12+6949.46+3292.33+6872.2+3749.74</f>
        <v>54320.11</v>
      </c>
      <c r="V140" s="40"/>
      <c r="W140" s="40"/>
      <c r="X140" s="40"/>
      <c r="Y140" s="40"/>
      <c r="Z140" s="40">
        <f t="shared" si="7"/>
        <v>54320.11</v>
      </c>
      <c r="AA140" s="41">
        <f t="shared" si="12"/>
        <v>-54320.11</v>
      </c>
      <c r="AD140" s="12"/>
    </row>
    <row r="141" spans="6:31" ht="15.75" x14ac:dyDescent="0.25">
      <c r="F141" s="42"/>
      <c r="G141" s="69" t="s">
        <v>206</v>
      </c>
      <c r="H141" s="40">
        <v>0</v>
      </c>
      <c r="I141" s="40"/>
      <c r="J141" s="40"/>
      <c r="K141" s="40"/>
      <c r="L141" s="40">
        <f t="shared" si="6"/>
        <v>0</v>
      </c>
      <c r="M141" s="40">
        <v>2777.25</v>
      </c>
      <c r="N141" s="40">
        <v>3260.25</v>
      </c>
      <c r="O141" s="40">
        <v>3260.25</v>
      </c>
      <c r="P141" s="40">
        <v>3260.25</v>
      </c>
      <c r="Q141" s="40">
        <v>3260.25</v>
      </c>
      <c r="R141" s="40">
        <v>3260.25</v>
      </c>
      <c r="S141" s="40">
        <v>3260.25</v>
      </c>
      <c r="T141" s="40">
        <v>3260.25</v>
      </c>
      <c r="U141" s="40">
        <f>2294.25+2753.1+2753.1+2753.1+2753.1+3260.25+3260.25+3260.25</f>
        <v>23087.4</v>
      </c>
      <c r="V141" s="40"/>
      <c r="W141" s="40">
        <f>483+507.15+507.15+507.15+507.15</f>
        <v>2511.6</v>
      </c>
      <c r="X141" s="40"/>
      <c r="Y141" s="40"/>
      <c r="Z141" s="40">
        <f t="shared" ref="Z141:Z143" si="13">SUM(M141:T141)</f>
        <v>25599</v>
      </c>
      <c r="AA141" s="41">
        <f t="shared" si="12"/>
        <v>-25599</v>
      </c>
      <c r="AD141" s="12"/>
    </row>
    <row r="142" spans="6:31" ht="15.75" x14ac:dyDescent="0.25">
      <c r="F142" s="53"/>
      <c r="G142" s="70" t="s">
        <v>207</v>
      </c>
      <c r="H142" s="55">
        <v>0</v>
      </c>
      <c r="I142" s="55"/>
      <c r="J142" s="55"/>
      <c r="K142" s="55"/>
      <c r="L142" s="55">
        <f t="shared" si="6"/>
        <v>0</v>
      </c>
      <c r="M142" s="55">
        <v>0</v>
      </c>
      <c r="N142" s="55">
        <v>0</v>
      </c>
      <c r="O142" s="55">
        <v>0</v>
      </c>
      <c r="P142" s="55">
        <v>0</v>
      </c>
      <c r="Q142" s="55">
        <v>0</v>
      </c>
      <c r="R142" s="55">
        <v>0</v>
      </c>
      <c r="S142" s="55">
        <v>0</v>
      </c>
      <c r="T142" s="55">
        <v>0</v>
      </c>
      <c r="U142" s="71"/>
      <c r="V142" s="55"/>
      <c r="W142" s="71"/>
      <c r="X142" s="55"/>
      <c r="Y142" s="55"/>
      <c r="Z142" s="40">
        <f t="shared" si="13"/>
        <v>0</v>
      </c>
      <c r="AA142" s="41">
        <f t="shared" si="12"/>
        <v>0</v>
      </c>
      <c r="AD142" s="12"/>
    </row>
    <row r="143" spans="6:31" ht="15.75" x14ac:dyDescent="0.25">
      <c r="F143" s="53"/>
      <c r="G143" s="70" t="s">
        <v>208</v>
      </c>
      <c r="H143" s="55">
        <v>0</v>
      </c>
      <c r="I143" s="55"/>
      <c r="J143" s="55"/>
      <c r="K143" s="55"/>
      <c r="L143" s="55">
        <f t="shared" si="6"/>
        <v>0</v>
      </c>
      <c r="M143" s="55">
        <v>0</v>
      </c>
      <c r="N143" s="55">
        <v>0</v>
      </c>
      <c r="O143" s="55">
        <v>0</v>
      </c>
      <c r="P143" s="55">
        <v>0</v>
      </c>
      <c r="Q143" s="55">
        <v>0</v>
      </c>
      <c r="R143" s="55">
        <v>0</v>
      </c>
      <c r="S143" s="55">
        <v>0</v>
      </c>
      <c r="T143" s="55">
        <v>0</v>
      </c>
      <c r="U143" s="71"/>
      <c r="V143" s="55"/>
      <c r="W143" s="71"/>
      <c r="X143" s="55"/>
      <c r="Y143" s="55"/>
      <c r="Z143" s="40">
        <f t="shared" si="13"/>
        <v>0</v>
      </c>
      <c r="AA143" s="41">
        <f t="shared" si="12"/>
        <v>0</v>
      </c>
      <c r="AD143" s="12"/>
    </row>
    <row r="144" spans="6:31" ht="16.5" thickBot="1" x14ac:dyDescent="0.3">
      <c r="F144" s="90"/>
      <c r="G144" s="91" t="s">
        <v>209</v>
      </c>
      <c r="H144" s="58">
        <f>SUM(H73:H137)</f>
        <v>23378703.580000002</v>
      </c>
      <c r="I144" s="58">
        <f>SUM(I73:I142)</f>
        <v>20356.3</v>
      </c>
      <c r="J144" s="58">
        <f>SUM(J73:J143)</f>
        <v>1064608.06</v>
      </c>
      <c r="K144" s="58">
        <f>SUM(K73:K141)</f>
        <v>1064608.06</v>
      </c>
      <c r="L144" s="58">
        <f t="shared" ref="L144:R144" si="14">SUM(L73:L143)</f>
        <v>23399059.880000003</v>
      </c>
      <c r="M144" s="58">
        <f t="shared" si="14"/>
        <v>221838.67</v>
      </c>
      <c r="N144" s="58">
        <f t="shared" si="14"/>
        <v>346747.44999999995</v>
      </c>
      <c r="O144" s="58">
        <f t="shared" si="14"/>
        <v>736620.36</v>
      </c>
      <c r="P144" s="58">
        <f t="shared" si="14"/>
        <v>910784.58</v>
      </c>
      <c r="Q144" s="58">
        <f t="shared" si="14"/>
        <v>423600.42000000016</v>
      </c>
      <c r="R144" s="58">
        <f t="shared" si="14"/>
        <v>877825.77</v>
      </c>
      <c r="S144" s="58">
        <f>SUM(S73:S143)</f>
        <v>617555.14</v>
      </c>
      <c r="T144" s="58">
        <f>SUM(T73:T143)</f>
        <v>821012.90000000026</v>
      </c>
      <c r="U144" s="92">
        <f>SUM(U73:U143)</f>
        <v>979788.41999999993</v>
      </c>
      <c r="V144" s="58">
        <f>SUM(V73:V142)</f>
        <v>1722820.9399999997</v>
      </c>
      <c r="W144" s="92">
        <f>SUM(W73:W143)</f>
        <v>1804475.3100000005</v>
      </c>
      <c r="X144" s="58">
        <f>SUM(X73:X143)</f>
        <v>174000.62</v>
      </c>
      <c r="Y144" s="58">
        <f>SUM(Y73:Y143)</f>
        <v>274900</v>
      </c>
      <c r="Z144" s="58">
        <f>SUM(Z73:Z143)</f>
        <v>4955985.290000001</v>
      </c>
      <c r="AA144" s="59">
        <f t="shared" si="12"/>
        <v>18443074.590000004</v>
      </c>
      <c r="AB144" s="73"/>
      <c r="AC144" s="73"/>
      <c r="AD144" s="73"/>
      <c r="AE144" s="79"/>
    </row>
    <row r="145" spans="6:31" ht="15.75" x14ac:dyDescent="0.25">
      <c r="F145" s="30"/>
      <c r="G145" s="30"/>
      <c r="H145" s="12"/>
      <c r="I145" s="75">
        <f>H143+I143</f>
        <v>0</v>
      </c>
      <c r="J145" s="75"/>
      <c r="K145" s="75"/>
      <c r="L145" s="76"/>
      <c r="M145" s="77"/>
      <c r="N145" s="77"/>
      <c r="O145" s="77"/>
      <c r="P145" s="77"/>
      <c r="Q145" s="77"/>
      <c r="R145" s="77"/>
      <c r="S145" s="77"/>
      <c r="T145" s="77"/>
      <c r="U145" s="102"/>
      <c r="V145" s="102"/>
      <c r="W145" s="103"/>
      <c r="X145" s="103"/>
      <c r="Y145" s="103"/>
      <c r="Z145" s="102"/>
      <c r="AA145" s="104"/>
      <c r="AB145" s="105"/>
      <c r="AC145" s="73"/>
      <c r="AD145" s="73"/>
      <c r="AE145" s="79"/>
    </row>
    <row r="146" spans="6:31" ht="15.75" x14ac:dyDescent="0.25">
      <c r="F146" s="30"/>
      <c r="G146" s="30"/>
      <c r="H146" s="12"/>
      <c r="I146" s="75"/>
      <c r="J146" s="75"/>
      <c r="K146" s="75"/>
      <c r="L146" s="76"/>
      <c r="M146" s="80"/>
      <c r="N146" s="80"/>
      <c r="O146" s="80"/>
      <c r="P146" s="80"/>
      <c r="Q146" s="80"/>
      <c r="R146" s="80"/>
      <c r="S146" s="80"/>
      <c r="T146" s="80"/>
      <c r="U146" s="102"/>
      <c r="V146" s="102"/>
      <c r="W146" s="102"/>
      <c r="X146" s="106"/>
      <c r="Y146" s="102"/>
      <c r="Z146" s="103"/>
      <c r="AA146" s="104"/>
      <c r="AB146" s="107"/>
      <c r="AC146" s="73"/>
      <c r="AD146" s="73"/>
      <c r="AE146" s="73"/>
    </row>
    <row r="147" spans="6:31" ht="15.75" x14ac:dyDescent="0.25">
      <c r="F147" s="30"/>
      <c r="G147" s="30"/>
      <c r="H147" s="12"/>
      <c r="I147" s="60"/>
      <c r="J147" s="12"/>
      <c r="K147" s="81"/>
      <c r="L147" s="80"/>
      <c r="M147" s="77"/>
      <c r="N147" s="77"/>
      <c r="O147" s="77"/>
      <c r="P147" s="77"/>
      <c r="Q147" s="77"/>
      <c r="R147" s="77"/>
      <c r="S147" s="77"/>
      <c r="T147" s="77"/>
      <c r="U147" s="102">
        <f>'[1]Noviembre 205'!X136</f>
        <v>1254959.6800000002</v>
      </c>
      <c r="V147" s="102">
        <f>'[1]Noviembre 205'!Y136</f>
        <v>1597790.7000000002</v>
      </c>
      <c r="W147" s="102">
        <f>'[1]Noviembre 205'!Z136</f>
        <v>2379393.4300000006</v>
      </c>
      <c r="X147" s="102">
        <f>'[1]Noviembre 205'!AA136</f>
        <v>867800.66</v>
      </c>
      <c r="Y147" s="103">
        <f>'[1]Noviembre 205'!AB136</f>
        <v>395429.88</v>
      </c>
      <c r="Z147" s="102"/>
      <c r="AA147" s="108"/>
      <c r="AB147" s="107"/>
      <c r="AC147" s="73"/>
      <c r="AD147" s="73"/>
      <c r="AE147" s="73"/>
    </row>
    <row r="148" spans="6:31" ht="15.75" x14ac:dyDescent="0.25">
      <c r="F148" s="30"/>
      <c r="G148" s="30"/>
      <c r="I148" s="75"/>
      <c r="J148" s="81"/>
      <c r="K148" s="74"/>
      <c r="L148" s="80"/>
      <c r="M148" s="80"/>
      <c r="N148" s="80"/>
      <c r="O148" s="80"/>
      <c r="P148" s="80"/>
      <c r="Q148" s="80"/>
      <c r="R148" s="80"/>
      <c r="S148" s="80"/>
      <c r="T148" s="80"/>
      <c r="U148" s="103"/>
      <c r="V148" s="102"/>
      <c r="W148" s="102"/>
      <c r="X148" s="102"/>
      <c r="Y148" s="102"/>
      <c r="Z148" s="102"/>
      <c r="AA148" s="108"/>
      <c r="AB148" s="105"/>
      <c r="AC148" s="73"/>
      <c r="AD148" s="73"/>
      <c r="AE148" s="73"/>
    </row>
    <row r="149" spans="6:31" ht="15.75" x14ac:dyDescent="0.25">
      <c r="F149" s="30"/>
      <c r="G149" s="30"/>
      <c r="H149" s="83"/>
      <c r="I149" s="60"/>
      <c r="J149" s="84"/>
      <c r="K149" s="74"/>
      <c r="L149" s="145"/>
      <c r="M149" s="145"/>
      <c r="N149" s="94"/>
      <c r="O149" s="94"/>
      <c r="P149" s="94"/>
      <c r="Q149" s="94"/>
      <c r="R149" s="94"/>
      <c r="S149" s="94"/>
      <c r="T149" s="94"/>
      <c r="U149" s="102"/>
      <c r="V149" s="85"/>
      <c r="W149" s="85"/>
      <c r="X149" s="85"/>
      <c r="Y149" s="85"/>
      <c r="Z149" s="106"/>
      <c r="AA149" s="109"/>
      <c r="AB149" s="107"/>
      <c r="AC149" s="79"/>
      <c r="AD149" s="73"/>
      <c r="AE149" s="73"/>
    </row>
    <row r="150" spans="6:31" ht="15.75" x14ac:dyDescent="0.25">
      <c r="F150" s="30"/>
      <c r="G150" s="4" t="s">
        <v>42</v>
      </c>
      <c r="H150" s="83"/>
      <c r="I150" s="81"/>
      <c r="J150" s="84"/>
      <c r="K150" s="60"/>
      <c r="L150" s="142"/>
      <c r="M150" s="142"/>
      <c r="N150" s="95"/>
      <c r="O150" s="95"/>
      <c r="P150" s="95"/>
      <c r="Q150" s="95"/>
      <c r="R150" s="95"/>
      <c r="S150" s="95"/>
      <c r="T150" s="95"/>
      <c r="U150" s="110"/>
      <c r="V150" s="110"/>
      <c r="W150" s="102"/>
      <c r="X150" s="102"/>
      <c r="Y150" s="102"/>
      <c r="Z150" s="102"/>
      <c r="AA150" s="108"/>
      <c r="AB150" s="111"/>
      <c r="AC150" s="72"/>
      <c r="AD150" s="73"/>
      <c r="AE150" s="73"/>
    </row>
    <row r="151" spans="6:31" ht="15.75" x14ac:dyDescent="0.25">
      <c r="H151" s="73"/>
      <c r="I151" s="79"/>
      <c r="J151" s="73"/>
      <c r="K151" s="81"/>
      <c r="L151" s="80"/>
      <c r="M151" s="80"/>
      <c r="N151" s="80"/>
      <c r="O151" s="80"/>
      <c r="P151" s="80"/>
      <c r="Q151" s="80"/>
      <c r="R151" s="80"/>
      <c r="S151" s="80"/>
      <c r="T151" s="80"/>
      <c r="U151" s="102"/>
      <c r="V151" s="102"/>
      <c r="W151" s="102"/>
      <c r="X151" s="102"/>
      <c r="Y151" s="102"/>
      <c r="Z151" s="102"/>
      <c r="AA151" s="104"/>
      <c r="AB151" s="20"/>
      <c r="AC151" s="82"/>
      <c r="AD151" s="73"/>
      <c r="AE151" s="73"/>
    </row>
    <row r="152" spans="6:31" x14ac:dyDescent="0.25">
      <c r="H152" s="74"/>
      <c r="I152" s="75"/>
      <c r="J152" s="74"/>
      <c r="K152" s="74"/>
      <c r="L152" s="112"/>
      <c r="M152" s="112"/>
      <c r="N152" s="112"/>
      <c r="O152" s="112"/>
      <c r="P152" s="112"/>
      <c r="Q152" s="112"/>
      <c r="R152" s="112"/>
      <c r="S152" s="112"/>
      <c r="T152" s="112"/>
      <c r="U152" s="103"/>
      <c r="V152" s="103"/>
      <c r="W152" s="103"/>
      <c r="X152" s="103"/>
      <c r="Y152" s="103"/>
      <c r="Z152" s="103"/>
      <c r="AA152" s="113"/>
      <c r="AB152" s="105"/>
      <c r="AC152" s="73"/>
      <c r="AD152" s="73"/>
      <c r="AE152" s="73"/>
    </row>
    <row r="153" spans="6:31" ht="15.75" x14ac:dyDescent="0.25">
      <c r="H153" s="74"/>
      <c r="I153" s="75"/>
      <c r="J153" s="81"/>
      <c r="K153" s="81"/>
      <c r="L153" s="114"/>
      <c r="M153" s="114"/>
      <c r="N153" s="114"/>
      <c r="O153" s="114"/>
      <c r="P153" s="114"/>
      <c r="Q153" s="114"/>
      <c r="R153" s="114"/>
      <c r="S153" s="114"/>
      <c r="T153" s="114"/>
      <c r="U153" s="115"/>
      <c r="V153" s="115"/>
      <c r="W153" s="116"/>
      <c r="X153" s="116"/>
      <c r="Y153" s="116"/>
      <c r="Z153" s="115"/>
      <c r="AA153" s="104"/>
      <c r="AB153" s="20"/>
      <c r="AC153" s="72"/>
      <c r="AD153" s="72"/>
      <c r="AE153" s="72"/>
    </row>
    <row r="154" spans="6:31" x14ac:dyDescent="0.25">
      <c r="H154" s="74"/>
      <c r="I154" s="75"/>
      <c r="J154" s="74"/>
      <c r="K154" s="74"/>
      <c r="L154" s="112"/>
      <c r="M154" s="112"/>
      <c r="N154" s="112"/>
      <c r="O154" s="112"/>
      <c r="P154" s="112"/>
      <c r="Q154" s="112"/>
      <c r="R154" s="112"/>
      <c r="S154" s="112"/>
      <c r="T154" s="112"/>
      <c r="U154" s="117"/>
      <c r="V154" s="116"/>
      <c r="W154" s="116"/>
      <c r="X154" s="116"/>
      <c r="Y154" s="116"/>
      <c r="Z154" s="116"/>
      <c r="AA154" s="109"/>
      <c r="AB154" s="105"/>
      <c r="AC154" s="73"/>
      <c r="AD154" s="73"/>
      <c r="AE154" s="73"/>
    </row>
    <row r="155" spans="6:31" x14ac:dyDescent="0.25">
      <c r="H155" s="74"/>
      <c r="I155" s="74"/>
      <c r="J155" s="74"/>
      <c r="K155" s="74"/>
      <c r="L155" s="112"/>
      <c r="M155" s="112"/>
      <c r="N155" s="112"/>
      <c r="O155" s="112"/>
      <c r="P155" s="112"/>
      <c r="Q155" s="112"/>
      <c r="R155" s="112"/>
      <c r="S155" s="112"/>
      <c r="T155" s="112"/>
      <c r="U155" s="116"/>
      <c r="V155" s="116"/>
      <c r="W155" s="116"/>
      <c r="X155" s="116"/>
      <c r="Y155" s="116"/>
      <c r="Z155" s="116"/>
      <c r="AA155" s="109"/>
      <c r="AB155" s="105"/>
      <c r="AC155" s="73"/>
      <c r="AD155" s="73"/>
      <c r="AE155" s="73"/>
    </row>
    <row r="156" spans="6:31" x14ac:dyDescent="0.25">
      <c r="H156" s="74"/>
      <c r="I156" s="74"/>
      <c r="J156" s="75"/>
      <c r="K156" s="74"/>
      <c r="L156" s="78"/>
      <c r="M156" s="112"/>
      <c r="N156" s="112"/>
      <c r="O156" s="112"/>
      <c r="P156" s="112"/>
      <c r="Q156" s="112"/>
      <c r="R156" s="112"/>
      <c r="S156" s="112"/>
      <c r="T156" s="112"/>
      <c r="U156" s="116"/>
      <c r="V156" s="118"/>
      <c r="W156" s="118"/>
      <c r="X156" s="118"/>
      <c r="Y156" s="118"/>
      <c r="Z156" s="116"/>
      <c r="AA156" s="109"/>
      <c r="AB156" s="105"/>
      <c r="AC156" s="73"/>
      <c r="AD156" s="73"/>
      <c r="AE156" s="73"/>
    </row>
    <row r="157" spans="6:31" x14ac:dyDescent="0.25">
      <c r="H157" s="74"/>
      <c r="I157" s="75"/>
      <c r="J157" s="74"/>
      <c r="K157" s="86"/>
      <c r="L157" s="112"/>
      <c r="M157" s="112"/>
      <c r="N157" s="112"/>
      <c r="O157" s="112"/>
      <c r="P157" s="112"/>
      <c r="Q157" s="112"/>
      <c r="R157" s="112"/>
      <c r="S157" s="112"/>
      <c r="T157" s="112"/>
      <c r="U157" s="117"/>
      <c r="V157" s="117"/>
      <c r="W157" s="117"/>
      <c r="X157" s="117"/>
      <c r="Y157" s="119"/>
      <c r="Z157" s="117"/>
      <c r="AA157" s="109"/>
      <c r="AB157" s="105"/>
      <c r="AC157" s="73"/>
      <c r="AD157" s="73"/>
      <c r="AE157" s="73"/>
    </row>
    <row r="158" spans="6:31" x14ac:dyDescent="0.25">
      <c r="H158" s="75"/>
      <c r="I158" s="75"/>
      <c r="J158" s="74"/>
      <c r="K158" s="86"/>
      <c r="L158" s="112"/>
      <c r="M158" s="112"/>
      <c r="N158" s="112"/>
      <c r="O158" s="112"/>
      <c r="P158" s="112"/>
      <c r="Q158" s="112"/>
      <c r="R158" s="112"/>
      <c r="S158" s="112"/>
      <c r="T158" s="112"/>
      <c r="U158" s="116"/>
      <c r="V158" s="116"/>
      <c r="W158" s="116"/>
      <c r="X158" s="116"/>
      <c r="Y158" s="116"/>
      <c r="Z158" s="117"/>
      <c r="AA158" s="109"/>
      <c r="AB158" s="105"/>
      <c r="AC158" s="73"/>
      <c r="AD158" s="73"/>
      <c r="AE158" s="73"/>
    </row>
    <row r="159" spans="6:31" x14ac:dyDescent="0.25">
      <c r="H159" s="74"/>
      <c r="I159" s="74"/>
      <c r="J159" s="74"/>
      <c r="K159" s="86"/>
      <c r="L159" s="112"/>
      <c r="M159" s="112"/>
      <c r="N159" s="112"/>
      <c r="O159" s="112"/>
      <c r="P159" s="112"/>
      <c r="Q159" s="112"/>
      <c r="R159" s="112"/>
      <c r="S159" s="112"/>
      <c r="T159" s="112"/>
      <c r="U159" s="118"/>
      <c r="V159" s="117"/>
      <c r="W159" s="117"/>
      <c r="X159" s="117"/>
      <c r="Y159" s="119"/>
      <c r="Z159" s="116"/>
      <c r="AA159" s="109"/>
      <c r="AB159" s="105"/>
      <c r="AC159" s="73"/>
      <c r="AD159" s="73"/>
      <c r="AE159" s="73"/>
    </row>
    <row r="160" spans="6:31" x14ac:dyDescent="0.25">
      <c r="H160" s="75"/>
      <c r="I160" s="74"/>
      <c r="J160" s="74"/>
      <c r="K160" s="86"/>
      <c r="L160" s="112"/>
      <c r="M160" s="112"/>
      <c r="N160" s="112"/>
      <c r="O160" s="112"/>
      <c r="P160" s="112"/>
      <c r="Q160" s="112"/>
      <c r="R160" s="112"/>
      <c r="S160" s="112"/>
      <c r="T160" s="112"/>
      <c r="U160" s="116"/>
      <c r="V160" s="116"/>
      <c r="W160" s="116"/>
      <c r="X160" s="116"/>
      <c r="Y160" s="116"/>
      <c r="Z160" s="116"/>
      <c r="AA160" s="109"/>
      <c r="AB160" s="105"/>
      <c r="AC160" s="73"/>
      <c r="AD160" s="73"/>
      <c r="AE160" s="73"/>
    </row>
    <row r="161" spans="8:31" x14ac:dyDescent="0.25">
      <c r="H161" s="74"/>
      <c r="I161" s="74"/>
      <c r="J161" s="74"/>
      <c r="K161" s="86"/>
      <c r="L161" s="74"/>
      <c r="M161" s="74"/>
      <c r="N161" s="74"/>
      <c r="O161" s="74"/>
      <c r="P161" s="74"/>
      <c r="Q161" s="74"/>
      <c r="R161" s="74"/>
      <c r="S161" s="74"/>
      <c r="T161" s="74"/>
      <c r="U161" s="113"/>
      <c r="V161" s="120"/>
      <c r="W161" s="120"/>
      <c r="X161" s="120"/>
      <c r="Y161" s="120"/>
      <c r="Z161" s="109"/>
      <c r="AA161" s="109"/>
      <c r="AB161" s="105"/>
      <c r="AC161" s="73"/>
      <c r="AD161" s="73"/>
      <c r="AE161" s="73"/>
    </row>
    <row r="162" spans="8:31" x14ac:dyDescent="0.25">
      <c r="H162" s="74"/>
      <c r="I162" s="75">
        <f>H143+I143</f>
        <v>0</v>
      </c>
      <c r="J162" s="74"/>
      <c r="K162" s="86"/>
      <c r="L162" s="74"/>
      <c r="M162" s="74"/>
      <c r="N162" s="74"/>
      <c r="O162" s="74"/>
      <c r="P162" s="74"/>
      <c r="Q162" s="74"/>
      <c r="R162" s="74"/>
      <c r="S162" s="74"/>
      <c r="T162" s="74"/>
      <c r="U162" s="109"/>
      <c r="V162" s="109"/>
      <c r="W162" s="109"/>
      <c r="X162" s="109"/>
      <c r="Y162" s="109"/>
      <c r="Z162" s="109"/>
      <c r="AA162" s="109"/>
      <c r="AB162" s="105"/>
      <c r="AC162" s="73"/>
      <c r="AD162" s="73"/>
      <c r="AE162" s="73"/>
    </row>
    <row r="163" spans="8:31" x14ac:dyDescent="0.25">
      <c r="H163" s="75"/>
      <c r="I163" s="75">
        <f>L143</f>
        <v>0</v>
      </c>
      <c r="J163" s="74"/>
      <c r="K163" s="86"/>
      <c r="L163" s="74"/>
      <c r="M163" s="74"/>
      <c r="N163" s="74"/>
      <c r="O163" s="74"/>
      <c r="P163" s="74"/>
      <c r="Q163" s="74"/>
      <c r="R163" s="74"/>
      <c r="S163" s="74"/>
      <c r="T163" s="74"/>
      <c r="U163" s="109"/>
      <c r="V163" s="109"/>
      <c r="W163" s="109"/>
      <c r="X163" s="109"/>
      <c r="Y163" s="109"/>
      <c r="Z163" s="109"/>
      <c r="AA163" s="109"/>
      <c r="AB163" s="105"/>
      <c r="AC163" s="73"/>
      <c r="AD163" s="73"/>
      <c r="AE163" s="73"/>
    </row>
    <row r="164" spans="8:31" x14ac:dyDescent="0.25">
      <c r="H164" s="75"/>
      <c r="I164" s="75">
        <f>I162-I163</f>
        <v>0</v>
      </c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120"/>
      <c r="V164" s="109"/>
      <c r="W164" s="109"/>
      <c r="X164" s="109"/>
      <c r="Y164" s="109"/>
      <c r="Z164" s="109"/>
      <c r="AA164" s="109"/>
      <c r="AB164" s="105"/>
      <c r="AC164" s="73"/>
      <c r="AD164" s="73"/>
      <c r="AE164" s="73"/>
    </row>
    <row r="165" spans="8:31" x14ac:dyDescent="0.25">
      <c r="H165" s="74"/>
      <c r="I165" s="75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105"/>
      <c r="V165" s="105"/>
      <c r="W165" s="105"/>
      <c r="X165" s="105"/>
      <c r="Y165" s="105"/>
      <c r="Z165" s="105"/>
      <c r="AA165" s="105"/>
      <c r="AB165" s="105"/>
      <c r="AC165" s="73"/>
      <c r="AD165" s="73"/>
      <c r="AE165" s="73"/>
    </row>
    <row r="166" spans="8:31" x14ac:dyDescent="0.25">
      <c r="H166" s="75"/>
      <c r="I166" s="75">
        <f>J64</f>
        <v>0</v>
      </c>
      <c r="J166" s="74" t="str">
        <f>G64</f>
        <v xml:space="preserve">Mant. y Rep. De otras obras e instalaciónes </v>
      </c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AA166" s="73"/>
      <c r="AB166" s="73"/>
      <c r="AC166" s="73"/>
      <c r="AD166" s="73"/>
      <c r="AE166" s="73"/>
    </row>
    <row r="167" spans="8:31" x14ac:dyDescent="0.25">
      <c r="I167" s="75">
        <f>J142</f>
        <v>0</v>
      </c>
      <c r="J167" s="74" t="str">
        <f>G142</f>
        <v xml:space="preserve">REINTEGRO AL COMITÉ OLIMPICO GUATEMALTECO </v>
      </c>
      <c r="K167" s="74"/>
      <c r="AA167" s="73"/>
      <c r="AB167" s="73"/>
      <c r="AC167" s="73"/>
      <c r="AD167" s="73"/>
      <c r="AE167" s="73"/>
    </row>
    <row r="168" spans="8:31" x14ac:dyDescent="0.25">
      <c r="AC168" s="73"/>
      <c r="AD168" s="73"/>
      <c r="AE168" s="73"/>
    </row>
    <row r="169" spans="8:31" x14ac:dyDescent="0.25">
      <c r="AC169" s="73"/>
      <c r="AD169" s="73"/>
      <c r="AE169" s="73"/>
    </row>
    <row r="170" spans="8:31" x14ac:dyDescent="0.25">
      <c r="AC170" s="73"/>
      <c r="AD170" s="73"/>
      <c r="AE170" s="73"/>
    </row>
  </sheetData>
  <mergeCells count="11">
    <mergeCell ref="I3:X3"/>
    <mergeCell ref="I4:X4"/>
    <mergeCell ref="I5:X5"/>
    <mergeCell ref="I6:X6"/>
    <mergeCell ref="I7:X7"/>
    <mergeCell ref="L150:M150"/>
    <mergeCell ref="J12:K12"/>
    <mergeCell ref="U12:W12"/>
    <mergeCell ref="J71:K71"/>
    <mergeCell ref="U71:W71"/>
    <mergeCell ref="L149:M149"/>
  </mergeCells>
  <pageMargins left="0.51181102362204722" right="0.51181102362204722" top="0.74803149606299213" bottom="0.74803149606299213" header="0.31496062992125984" footer="0.31496062992125984"/>
  <pageSetup paperSize="9" scale="30" orientation="landscape" horizontalDpi="0" verticalDpi="0" r:id="rId1"/>
  <rowBreaks count="1" manualBreakCount="1">
    <brk id="69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ingresos 2026</vt:lpstr>
      <vt:lpstr>egresos 2026</vt:lpstr>
      <vt:lpstr>'egresos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1</dc:creator>
  <cp:lastModifiedBy>Gerencia Raquetbol</cp:lastModifiedBy>
  <cp:lastPrinted>2026-10-12T18:51:05Z</cp:lastPrinted>
  <dcterms:created xsi:type="dcterms:W3CDTF">2023-02-07T15:49:47Z</dcterms:created>
  <dcterms:modified xsi:type="dcterms:W3CDTF">2026-10-12T18:52:23Z</dcterms:modified>
</cp:coreProperties>
</file>