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6\Febrero Marzo\"/>
    </mc:Choice>
  </mc:AlternateContent>
  <xr:revisionPtr revIDLastSave="0" documentId="8_{430A62B3-AFCC-4BB1-9575-C2485C89678C}" xr6:coauthVersionLast="47" xr6:coauthVersionMax="47" xr10:uidLastSave="{00000000-0000-0000-0000-000000000000}"/>
  <bookViews>
    <workbookView xWindow="-120" yWindow="-120" windowWidth="29040" windowHeight="15720" activeTab="1" xr2:uid="{99DB84B3-533F-4A8D-B92D-6A706156A1CB}"/>
  </bookViews>
  <sheets>
    <sheet name="ingresos 2026" sheetId="4" r:id="rId1"/>
    <sheet name="egresos 2026" sheetId="5" r:id="rId2"/>
  </sheets>
  <definedNames>
    <definedName name="_xlnm.Print_Area" localSheetId="1">'egresos 2026'!$A$1:$V$142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4" i="5" l="1"/>
  <c r="K141" i="5"/>
  <c r="L140" i="5"/>
  <c r="L139" i="5"/>
  <c r="L138" i="5"/>
  <c r="L137" i="5"/>
  <c r="L136" i="5"/>
  <c r="V136" i="5" s="1"/>
  <c r="L134" i="5"/>
  <c r="L132" i="5"/>
  <c r="L131" i="5"/>
  <c r="L130" i="5"/>
  <c r="L129" i="5"/>
  <c r="L127" i="5"/>
  <c r="L126" i="5"/>
  <c r="L125" i="5"/>
  <c r="L124" i="5"/>
  <c r="L123" i="5"/>
  <c r="L122" i="5"/>
  <c r="L121" i="5"/>
  <c r="L120" i="5"/>
  <c r="L118" i="5"/>
  <c r="L117" i="5"/>
  <c r="L116" i="5"/>
  <c r="L115" i="5"/>
  <c r="V115" i="5" s="1"/>
  <c r="L114" i="5"/>
  <c r="L113" i="5"/>
  <c r="L112" i="5"/>
  <c r="L111" i="5"/>
  <c r="L109" i="5"/>
  <c r="L108" i="5"/>
  <c r="L107" i="5"/>
  <c r="L106" i="5"/>
  <c r="L104" i="5"/>
  <c r="L103" i="5"/>
  <c r="L102" i="5"/>
  <c r="L101" i="5"/>
  <c r="L100" i="5"/>
  <c r="L98" i="5"/>
  <c r="L97" i="5"/>
  <c r="L96" i="5"/>
  <c r="L95" i="5"/>
  <c r="L94" i="5"/>
  <c r="L93" i="5"/>
  <c r="L92" i="5"/>
  <c r="L91" i="5"/>
  <c r="L90" i="5"/>
  <c r="L87" i="5"/>
  <c r="L85" i="5"/>
  <c r="L84" i="5"/>
  <c r="L83" i="5"/>
  <c r="H82" i="5"/>
  <c r="L82" i="5" s="1"/>
  <c r="L80" i="5"/>
  <c r="L79" i="5"/>
  <c r="L78" i="5"/>
  <c r="L77" i="5"/>
  <c r="L76" i="5"/>
  <c r="L75" i="5"/>
  <c r="L74" i="5"/>
  <c r="N71" i="5"/>
  <c r="N141" i="5" s="1"/>
  <c r="M71" i="5"/>
  <c r="M141" i="5" s="1"/>
  <c r="L71" i="5"/>
  <c r="K71" i="5"/>
  <c r="J71" i="5"/>
  <c r="J141" i="5" s="1"/>
  <c r="I71" i="5"/>
  <c r="I141" i="5" s="1"/>
  <c r="H71" i="5"/>
  <c r="H141" i="5" s="1"/>
  <c r="N65" i="5"/>
  <c r="M65" i="5"/>
  <c r="K65" i="5"/>
  <c r="J65" i="5"/>
  <c r="I65" i="5"/>
  <c r="L64" i="5"/>
  <c r="L63" i="5"/>
  <c r="L62" i="5"/>
  <c r="L61" i="5"/>
  <c r="L60" i="5"/>
  <c r="L59" i="5"/>
  <c r="L58" i="5"/>
  <c r="L57" i="5"/>
  <c r="L56" i="5"/>
  <c r="L53" i="5"/>
  <c r="H52" i="5"/>
  <c r="L52" i="5" s="1"/>
  <c r="L51" i="5"/>
  <c r="L49" i="5"/>
  <c r="L48" i="5"/>
  <c r="H47" i="5"/>
  <c r="L47" i="5" s="1"/>
  <c r="L45" i="5"/>
  <c r="L44" i="5"/>
  <c r="L43" i="5"/>
  <c r="H42" i="5"/>
  <c r="H65" i="5" s="1"/>
  <c r="L40" i="5"/>
  <c r="L39" i="5"/>
  <c r="L36" i="5"/>
  <c r="L35" i="5"/>
  <c r="L34" i="5"/>
  <c r="L33" i="5"/>
  <c r="L30" i="5"/>
  <c r="L29" i="5"/>
  <c r="L28" i="5"/>
  <c r="L27" i="5"/>
  <c r="L26" i="5"/>
  <c r="L25" i="5"/>
  <c r="L24" i="5"/>
  <c r="L23" i="5"/>
  <c r="L22" i="5"/>
  <c r="L19" i="5"/>
  <c r="L18" i="5"/>
  <c r="L17" i="5"/>
  <c r="L16" i="5"/>
  <c r="O141" i="5"/>
  <c r="U140" i="5"/>
  <c r="V140" i="5" s="1"/>
  <c r="U139" i="5"/>
  <c r="V139" i="5" s="1"/>
  <c r="U138" i="5"/>
  <c r="V138" i="5" s="1"/>
  <c r="R138" i="5"/>
  <c r="P138" i="5"/>
  <c r="U137" i="5"/>
  <c r="P137" i="5"/>
  <c r="U136" i="5"/>
  <c r="P136" i="5"/>
  <c r="U134" i="5"/>
  <c r="U132" i="5"/>
  <c r="Q132" i="5"/>
  <c r="U131" i="5"/>
  <c r="Q131" i="5"/>
  <c r="U130" i="5"/>
  <c r="U129" i="5"/>
  <c r="U127" i="5"/>
  <c r="U126" i="5"/>
  <c r="U125" i="5"/>
  <c r="V125" i="5" s="1"/>
  <c r="U124" i="5"/>
  <c r="V124" i="5" s="1"/>
  <c r="U123" i="5"/>
  <c r="V123" i="5" s="1"/>
  <c r="U122" i="5"/>
  <c r="V122" i="5" s="1"/>
  <c r="U121" i="5"/>
  <c r="V121" i="5" s="1"/>
  <c r="U120" i="5"/>
  <c r="U118" i="5"/>
  <c r="R118" i="5"/>
  <c r="P118" i="5"/>
  <c r="U117" i="5"/>
  <c r="P117" i="5"/>
  <c r="U116" i="5"/>
  <c r="U115" i="5"/>
  <c r="P115" i="5"/>
  <c r="U114" i="5"/>
  <c r="V114" i="5" s="1"/>
  <c r="U113" i="5"/>
  <c r="V113" i="5" s="1"/>
  <c r="R113" i="5"/>
  <c r="Q113" i="5"/>
  <c r="U112" i="5"/>
  <c r="V112" i="5" s="1"/>
  <c r="R112" i="5"/>
  <c r="P112" i="5"/>
  <c r="U111" i="5"/>
  <c r="V111" i="5" s="1"/>
  <c r="P111" i="5"/>
  <c r="U109" i="5"/>
  <c r="V109" i="5" s="1"/>
  <c r="R109" i="5"/>
  <c r="U108" i="5"/>
  <c r="U107" i="5"/>
  <c r="U106" i="5"/>
  <c r="U104" i="5"/>
  <c r="R104" i="5"/>
  <c r="U103" i="5"/>
  <c r="P103" i="5"/>
  <c r="U102" i="5"/>
  <c r="V102" i="5" s="1"/>
  <c r="R102" i="5"/>
  <c r="U101" i="5"/>
  <c r="V101" i="5" s="1"/>
  <c r="U100" i="5"/>
  <c r="V100" i="5" s="1"/>
  <c r="P100" i="5"/>
  <c r="U98" i="5"/>
  <c r="V98" i="5" s="1"/>
  <c r="U97" i="5"/>
  <c r="V97" i="5" s="1"/>
  <c r="U96" i="5"/>
  <c r="V96" i="5" s="1"/>
  <c r="U95" i="5"/>
  <c r="V95" i="5" s="1"/>
  <c r="U94" i="5"/>
  <c r="V94" i="5" s="1"/>
  <c r="U93" i="5"/>
  <c r="V93" i="5" s="1"/>
  <c r="U92" i="5"/>
  <c r="V92" i="5" s="1"/>
  <c r="R92" i="5"/>
  <c r="Q92" i="5"/>
  <c r="U91" i="5"/>
  <c r="U90" i="5"/>
  <c r="R90" i="5"/>
  <c r="Q90" i="5"/>
  <c r="P90" i="5"/>
  <c r="U87" i="5"/>
  <c r="R87" i="5"/>
  <c r="P87" i="5"/>
  <c r="U86" i="5"/>
  <c r="V86" i="5" s="1"/>
  <c r="U85" i="5"/>
  <c r="U84" i="5"/>
  <c r="U83" i="5"/>
  <c r="U82" i="5"/>
  <c r="R82" i="5"/>
  <c r="Q82" i="5"/>
  <c r="Q141" i="5" s="1"/>
  <c r="P82" i="5"/>
  <c r="P141" i="5" s="1"/>
  <c r="U80" i="5"/>
  <c r="V80" i="5" s="1"/>
  <c r="R80" i="5"/>
  <c r="Q80" i="5"/>
  <c r="P80" i="5"/>
  <c r="U79" i="5"/>
  <c r="U78" i="5"/>
  <c r="V78" i="5" s="1"/>
  <c r="U77" i="5"/>
  <c r="V77" i="5" s="1"/>
  <c r="U76" i="5"/>
  <c r="V76" i="5" s="1"/>
  <c r="U75" i="5"/>
  <c r="V75" i="5" s="1"/>
  <c r="U74" i="5"/>
  <c r="V74" i="5" s="1"/>
  <c r="T71" i="5"/>
  <c r="T141" i="5" s="1"/>
  <c r="S71" i="5"/>
  <c r="S141" i="5" s="1"/>
  <c r="Q71" i="5"/>
  <c r="P71" i="5"/>
  <c r="O71" i="5"/>
  <c r="S65" i="5"/>
  <c r="O65" i="5"/>
  <c r="U64" i="5"/>
  <c r="V64" i="5" s="1"/>
  <c r="U63" i="5"/>
  <c r="V63" i="5" s="1"/>
  <c r="U62" i="5"/>
  <c r="V62" i="5" s="1"/>
  <c r="U61" i="5"/>
  <c r="U60" i="5"/>
  <c r="U59" i="5"/>
  <c r="U58" i="5"/>
  <c r="U57" i="5"/>
  <c r="V57" i="5" s="1"/>
  <c r="U56" i="5"/>
  <c r="V56" i="5" s="1"/>
  <c r="R56" i="5"/>
  <c r="U53" i="5"/>
  <c r="V53" i="5" s="1"/>
  <c r="U52" i="5"/>
  <c r="U51" i="5"/>
  <c r="V51" i="5" s="1"/>
  <c r="U49" i="5"/>
  <c r="V49" i="5" s="1"/>
  <c r="U48" i="5"/>
  <c r="V48" i="5" s="1"/>
  <c r="P48" i="5"/>
  <c r="U47" i="5"/>
  <c r="Q47" i="5"/>
  <c r="U45" i="5"/>
  <c r="V45" i="5" s="1"/>
  <c r="U44" i="5"/>
  <c r="V44" i="5" s="1"/>
  <c r="U43" i="5"/>
  <c r="V43" i="5" s="1"/>
  <c r="U42" i="5"/>
  <c r="R42" i="5"/>
  <c r="Q42" i="5"/>
  <c r="U40" i="5"/>
  <c r="P40" i="5"/>
  <c r="U39" i="5"/>
  <c r="U36" i="5"/>
  <c r="U35" i="5"/>
  <c r="U34" i="5"/>
  <c r="R34" i="5"/>
  <c r="P34" i="5"/>
  <c r="U33" i="5"/>
  <c r="V33" i="5" s="1"/>
  <c r="U30" i="5"/>
  <c r="V30" i="5" s="1"/>
  <c r="U29" i="5"/>
  <c r="V29" i="5" s="1"/>
  <c r="U28" i="5"/>
  <c r="V28" i="5" s="1"/>
  <c r="U27" i="5"/>
  <c r="V27" i="5" s="1"/>
  <c r="U26" i="5"/>
  <c r="V26" i="5" s="1"/>
  <c r="T26" i="5"/>
  <c r="U25" i="5"/>
  <c r="V25" i="5" s="1"/>
  <c r="T25" i="5"/>
  <c r="T65" i="5" s="1"/>
  <c r="U24" i="5"/>
  <c r="V24" i="5" s="1"/>
  <c r="U23" i="5"/>
  <c r="R23" i="5"/>
  <c r="P23" i="5"/>
  <c r="U22" i="5"/>
  <c r="R22" i="5"/>
  <c r="Q22" i="5"/>
  <c r="Q65" i="5" s="1"/>
  <c r="P22" i="5"/>
  <c r="U21" i="5"/>
  <c r="V21" i="5" s="1"/>
  <c r="U19" i="5"/>
  <c r="R19" i="5"/>
  <c r="P19" i="5"/>
  <c r="U18" i="5"/>
  <c r="V18" i="5" s="1"/>
  <c r="P18" i="5"/>
  <c r="U17" i="5"/>
  <c r="V17" i="5" s="1"/>
  <c r="P17" i="5"/>
  <c r="U16" i="5"/>
  <c r="R16" i="5"/>
  <c r="R65" i="5" s="1"/>
  <c r="R71" i="5" s="1"/>
  <c r="R141" i="5" s="1"/>
  <c r="P16" i="5"/>
  <c r="P65" i="5" s="1"/>
  <c r="C30" i="4"/>
  <c r="C31" i="4"/>
  <c r="C29" i="4"/>
  <c r="D21" i="4"/>
  <c r="C21" i="4"/>
  <c r="L141" i="5" l="1"/>
  <c r="V82" i="5"/>
  <c r="V126" i="5"/>
  <c r="V83" i="5"/>
  <c r="V127" i="5"/>
  <c r="V84" i="5"/>
  <c r="V129" i="5"/>
  <c r="V85" i="5"/>
  <c r="V130" i="5"/>
  <c r="V131" i="5"/>
  <c r="V87" i="5"/>
  <c r="V132" i="5"/>
  <c r="V103" i="5"/>
  <c r="V116" i="5"/>
  <c r="V134" i="5"/>
  <c r="V104" i="5"/>
  <c r="V117" i="5"/>
  <c r="V90" i="5"/>
  <c r="V106" i="5"/>
  <c r="V79" i="5"/>
  <c r="V91" i="5"/>
  <c r="V107" i="5"/>
  <c r="V108" i="5"/>
  <c r="V118" i="5"/>
  <c r="V137" i="5"/>
  <c r="V120" i="5"/>
  <c r="L65" i="5"/>
  <c r="V42" i="5"/>
  <c r="U65" i="5"/>
  <c r="U71" i="5" s="1"/>
  <c r="U141" i="5" s="1"/>
  <c r="V47" i="5"/>
  <c r="L42" i="5"/>
  <c r="V19" i="5"/>
  <c r="V52" i="5"/>
  <c r="V34" i="5"/>
  <c r="V35" i="5"/>
  <c r="V36" i="5"/>
  <c r="V39" i="5"/>
  <c r="V22" i="5"/>
  <c r="V58" i="5"/>
  <c r="V40" i="5"/>
  <c r="V59" i="5"/>
  <c r="V60" i="5"/>
  <c r="V23" i="5"/>
  <c r="V61" i="5"/>
  <c r="V16" i="5"/>
  <c r="V65" i="5" l="1"/>
  <c r="V71" i="5" s="1"/>
  <c r="V141" i="5" l="1"/>
  <c r="T70" i="5"/>
  <c r="S70" i="5"/>
  <c r="R70" i="5"/>
  <c r="Q70" i="5"/>
  <c r="P70" i="5"/>
  <c r="M70" i="5"/>
  <c r="I70" i="5"/>
  <c r="P69" i="5"/>
  <c r="B21" i="4"/>
  <c r="C32" i="4" l="1"/>
  <c r="C34" i="4" s="1"/>
  <c r="C36" i="4" s="1"/>
  <c r="C38" i="4" s="1"/>
  <c r="I29" i="4" s="1"/>
  <c r="I31" i="4" s="1"/>
  <c r="I33" i="4" s="1"/>
  <c r="I35" i="4" s="1"/>
  <c r="I143" i="5" l="1"/>
  <c r="M25" i="4" l="1"/>
  <c r="L25" i="4"/>
  <c r="K25" i="4"/>
  <c r="J25" i="4"/>
  <c r="I25" i="4"/>
  <c r="H25" i="4"/>
  <c r="G25" i="4"/>
  <c r="F25" i="4"/>
  <c r="E25" i="4"/>
  <c r="D25" i="4"/>
  <c r="C25" i="4"/>
  <c r="B25" i="4"/>
  <c r="N21" i="4"/>
  <c r="N20" i="4"/>
  <c r="N19" i="4"/>
  <c r="N18" i="4"/>
  <c r="N16" i="4"/>
  <c r="N15" i="4"/>
  <c r="N14" i="4"/>
  <c r="N25" i="4" l="1"/>
</calcChain>
</file>

<file path=xl/sharedStrings.xml><?xml version="1.0" encoding="utf-8"?>
<sst xmlns="http://schemas.openxmlformats.org/spreadsheetml/2006/main" count="245" uniqueCount="224">
  <si>
    <t>(En Quetzales)</t>
  </si>
  <si>
    <t>MES</t>
  </si>
  <si>
    <t xml:space="preserve">Enero </t>
  </si>
  <si>
    <t>Febrero</t>
  </si>
  <si>
    <t xml:space="preserve">Marzo </t>
  </si>
  <si>
    <t xml:space="preserve">Abril </t>
  </si>
  <si>
    <t>Mayo</t>
  </si>
  <si>
    <t xml:space="preserve">Junio </t>
  </si>
  <si>
    <t xml:space="preserve">Julio </t>
  </si>
  <si>
    <t xml:space="preserve">Agosto </t>
  </si>
  <si>
    <t>Septiembre</t>
  </si>
  <si>
    <t xml:space="preserve">Octubre </t>
  </si>
  <si>
    <t>Noviembre</t>
  </si>
  <si>
    <t>Diciembre</t>
  </si>
  <si>
    <t>Totales</t>
  </si>
  <si>
    <t xml:space="preserve">REINTEGROS </t>
  </si>
  <si>
    <t>CDAG</t>
  </si>
  <si>
    <t>COG</t>
  </si>
  <si>
    <t xml:space="preserve">INGRESO </t>
  </si>
  <si>
    <t>OTROS</t>
  </si>
  <si>
    <t>AJUSTES (+)</t>
  </si>
  <si>
    <t>AJUSTES (-)</t>
  </si>
  <si>
    <t>TOTAL</t>
  </si>
  <si>
    <t xml:space="preserve">  </t>
  </si>
  <si>
    <t>Resumen Ingresos</t>
  </si>
  <si>
    <t>Resumen General</t>
  </si>
  <si>
    <t>Ingresos</t>
  </si>
  <si>
    <t>Ingresos C.O.G.</t>
  </si>
  <si>
    <t>Total de Ingresos</t>
  </si>
  <si>
    <t>Ingresos C.D.A.G.</t>
  </si>
  <si>
    <t>(-) Total de Egresos</t>
  </si>
  <si>
    <t>Ingresos 63-A2 (Otros)</t>
  </si>
  <si>
    <t>(+) Ajustes N/C Cap. Interes</t>
  </si>
  <si>
    <t>Sub-Total</t>
  </si>
  <si>
    <t>(-)Ajustes Retencion IPF</t>
  </si>
  <si>
    <t>(-) Ajustes</t>
  </si>
  <si>
    <t>Total</t>
  </si>
  <si>
    <t>(+) Ajustes</t>
  </si>
  <si>
    <t>Cindy Guerra</t>
  </si>
  <si>
    <t>Bairon Rosil</t>
  </si>
  <si>
    <t>Contadora</t>
  </si>
  <si>
    <t>Tesorero</t>
  </si>
  <si>
    <t xml:space="preserve"> </t>
  </si>
  <si>
    <t>Asociacion Nacional de Raquetbol de Guatemala</t>
  </si>
  <si>
    <t>EJECUCION PRESUPUESTARIA DE EGRESOS</t>
  </si>
  <si>
    <t>Art. 10 Numeral 8 Ley de Acceso a la Informacion Publica</t>
  </si>
  <si>
    <t>Modificaciones</t>
  </si>
  <si>
    <t>Fuente de Financiamiento 22</t>
  </si>
  <si>
    <t>Renglón</t>
  </si>
  <si>
    <t>Concepto</t>
  </si>
  <si>
    <t>Presupuesto Total</t>
  </si>
  <si>
    <t>Ampliacion de Presupuesto</t>
  </si>
  <si>
    <t>Debe</t>
  </si>
  <si>
    <t>Haber</t>
  </si>
  <si>
    <t>Presupuesto Vigente</t>
  </si>
  <si>
    <t>Enero</t>
  </si>
  <si>
    <t>Ejecutado</t>
  </si>
  <si>
    <t>Disponible</t>
  </si>
  <si>
    <t>SERVICIOS PERSONALES</t>
  </si>
  <si>
    <t xml:space="preserve">PERSONAL CON CARGOS FIJOS </t>
  </si>
  <si>
    <t>0 11</t>
  </si>
  <si>
    <t>Personal Permanente</t>
  </si>
  <si>
    <t>0 13</t>
  </si>
  <si>
    <t>Complemento por antigüedad</t>
  </si>
  <si>
    <t>0 14</t>
  </si>
  <si>
    <t xml:space="preserve">Complemento por calidad profesional </t>
  </si>
  <si>
    <t>0 15</t>
  </si>
  <si>
    <t xml:space="preserve">Complemento Espe.  Al personal permanente </t>
  </si>
  <si>
    <t>PERSONAL TEMPORAL</t>
  </si>
  <si>
    <t>0 29</t>
  </si>
  <si>
    <t>Otras Rem. Personal Temporal</t>
  </si>
  <si>
    <t>0 51</t>
  </si>
  <si>
    <t>Aporte patronal al  IGSS</t>
  </si>
  <si>
    <t>0 52</t>
  </si>
  <si>
    <t>Aportacion Patronal al INTECAP</t>
  </si>
  <si>
    <t>0 61</t>
  </si>
  <si>
    <t>Dietas</t>
  </si>
  <si>
    <t>0 63</t>
  </si>
  <si>
    <t>Gastos de Representación</t>
  </si>
  <si>
    <t>0 71</t>
  </si>
  <si>
    <t>Aguinaldo</t>
  </si>
  <si>
    <t>0 72</t>
  </si>
  <si>
    <t>Bono 14</t>
  </si>
  <si>
    <t>0 73</t>
  </si>
  <si>
    <t>Bono Vacacional</t>
  </si>
  <si>
    <t>0 79</t>
  </si>
  <si>
    <t>Otras Prestaciones</t>
  </si>
  <si>
    <t>SERVICIOS NO PERSONALES</t>
  </si>
  <si>
    <t>SERVICIOS BASICOS</t>
  </si>
  <si>
    <t xml:space="preserve">Energia electrica </t>
  </si>
  <si>
    <t>1 13</t>
  </si>
  <si>
    <t>Telefonía</t>
  </si>
  <si>
    <t xml:space="preserve">Correos y Telégrafos </t>
  </si>
  <si>
    <t xml:space="preserve">Servicios de Lavandaria </t>
  </si>
  <si>
    <t>PUBLICIDAD, IMPRESIÓN Y</t>
  </si>
  <si>
    <t>ENCUADERNACION</t>
  </si>
  <si>
    <t>Publicidad y Propaganda</t>
  </si>
  <si>
    <t>Impresión y Encuadernacion</t>
  </si>
  <si>
    <t>VIATICOS Y GASTOS CONEXOS</t>
  </si>
  <si>
    <t xml:space="preserve">1 31 </t>
  </si>
  <si>
    <t>Viáticos en el Exterior</t>
  </si>
  <si>
    <t>1 33</t>
  </si>
  <si>
    <t>Viáticos en el Interior</t>
  </si>
  <si>
    <t>Compensación por Km Recorrido</t>
  </si>
  <si>
    <t>Otros Viáticos y Gtos. Conexos</t>
  </si>
  <si>
    <t>TRANSPORTE Y ALMACENAJE</t>
  </si>
  <si>
    <t>1 41</t>
  </si>
  <si>
    <t>Transporte de Personas</t>
  </si>
  <si>
    <t>1 42</t>
  </si>
  <si>
    <t>Fletes</t>
  </si>
  <si>
    <t xml:space="preserve">Almacenaje </t>
  </si>
  <si>
    <t>ARRENDAMIENTOS Y DERECHOS</t>
  </si>
  <si>
    <t>1 51</t>
  </si>
  <si>
    <t>Arrendamiento de Edificios y Locales</t>
  </si>
  <si>
    <t>1 55</t>
  </si>
  <si>
    <t>Arrendamiento medios de Transporte</t>
  </si>
  <si>
    <t>Derechos de bienes intangibles</t>
  </si>
  <si>
    <t>MANTENIMIENTO Y REPARACION</t>
  </si>
  <si>
    <t>DE MAQUINARIA Y EQUIPO</t>
  </si>
  <si>
    <t>1 62</t>
  </si>
  <si>
    <t>Mantenimiento y Rep. Eq. de Oficina</t>
  </si>
  <si>
    <t>Mantenimiento y Rep. Eq. Edu. Y Recreativos</t>
  </si>
  <si>
    <t>Mant. y Rep. de Eq. de Transporte</t>
  </si>
  <si>
    <t xml:space="preserve">Mant. y Rep. de Eq.  Para Comunicaciones </t>
  </si>
  <si>
    <t>1 68</t>
  </si>
  <si>
    <t>Mant. y Rep. de Eq. de Cómputo</t>
  </si>
  <si>
    <t xml:space="preserve">Mant. y Rep. De otras maquinas y equipos </t>
  </si>
  <si>
    <t xml:space="preserve">Mantenimiento y rep de edificio </t>
  </si>
  <si>
    <t>Mantenimiento  de Instalaciones</t>
  </si>
  <si>
    <t xml:space="preserve">Mant. y Rep. De otras obras e instalaciónes </t>
  </si>
  <si>
    <t>van</t>
  </si>
  <si>
    <t>Presupuesto Total Vigente</t>
  </si>
  <si>
    <t>Vienen</t>
  </si>
  <si>
    <t>SERVICIOS TECNICOS</t>
  </si>
  <si>
    <t>Y PROFESIONALES</t>
  </si>
  <si>
    <t>Servicios Médico-Sanitarios</t>
  </si>
  <si>
    <t>1 83</t>
  </si>
  <si>
    <t>Servicios Jurídicos</t>
  </si>
  <si>
    <t xml:space="preserve">Servicios de Capacitacion </t>
  </si>
  <si>
    <t>Servicios de informatica</t>
  </si>
  <si>
    <t>Otros Servicios</t>
  </si>
  <si>
    <t>OTROS SERVICIOS NO PERSONALES</t>
  </si>
  <si>
    <t>1 91</t>
  </si>
  <si>
    <t>Primas y Gastos de Seguros y Fianzas</t>
  </si>
  <si>
    <t>Otras Comisiones y Gtos. Bancarios</t>
  </si>
  <si>
    <t>1 95</t>
  </si>
  <si>
    <t>Impuestos, Derechos y Tasas</t>
  </si>
  <si>
    <t>Servicios de Atenciòn y Protocolo</t>
  </si>
  <si>
    <t>Otros Servicios No Personales</t>
  </si>
  <si>
    <t>MATERIALES Y SUMINISTROS</t>
  </si>
  <si>
    <t>ALIMENTOS Y PROD. AGROP.</t>
  </si>
  <si>
    <t>2 11</t>
  </si>
  <si>
    <t>Alimentos para Personas</t>
  </si>
  <si>
    <t>Productos Agrof. Madera corcho y manuf.</t>
  </si>
  <si>
    <t>Prendas de Vestir</t>
  </si>
  <si>
    <t>Otros texteles y Vestuario</t>
  </si>
  <si>
    <t>Papel de Escritorio</t>
  </si>
  <si>
    <t xml:space="preserve">Productos de artes gráficas </t>
  </si>
  <si>
    <t>Libros Revistas y Periodicos</t>
  </si>
  <si>
    <t xml:space="preserve">Especies timbradas y valores </t>
  </si>
  <si>
    <t>Otros Productos de papel, carton e impresos</t>
  </si>
  <si>
    <t>PRODUCTOS QUIMICOS Y CONEXOS</t>
  </si>
  <si>
    <t>2 62</t>
  </si>
  <si>
    <t>Combustibles y Lubricantes</t>
  </si>
  <si>
    <t>2 66</t>
  </si>
  <si>
    <t>Productos medicinales y Farm.</t>
  </si>
  <si>
    <t>Tintas</t>
  </si>
  <si>
    <t>Productos plásticos, nylon  y p.v.c.</t>
  </si>
  <si>
    <t>PRODUC. DE MINERALES NO METÁLICOS</t>
  </si>
  <si>
    <t xml:space="preserve">Productos de Vidrio </t>
  </si>
  <si>
    <t xml:space="preserve">Productos de cemento, pómez, Asbesto y yeso </t>
  </si>
  <si>
    <t xml:space="preserve">Otros Productos de Minerales no metálicos </t>
  </si>
  <si>
    <t xml:space="preserve">Productos de metal </t>
  </si>
  <si>
    <t>OTROS MAT. Y SUMINISTROS</t>
  </si>
  <si>
    <t>2 91</t>
  </si>
  <si>
    <t>Utiles de Oficina</t>
  </si>
  <si>
    <t>Utiles de Limpieza y Prod Sanitarios</t>
  </si>
  <si>
    <t>2 94</t>
  </si>
  <si>
    <t>Utiles deportivos y recreativos</t>
  </si>
  <si>
    <t>Utiles menores medicos-quirur y de lab.</t>
  </si>
  <si>
    <t>Utiles de Cocina y Comedor</t>
  </si>
  <si>
    <t>Utiles, Materiales Electricos</t>
  </si>
  <si>
    <t>Accesorios y Repuestos en General</t>
  </si>
  <si>
    <t>2 99</t>
  </si>
  <si>
    <t>Otros Materiales y Suministros</t>
  </si>
  <si>
    <t>PROPIEDAD, PLANTA, EQUIPO</t>
  </si>
  <si>
    <t>3 22</t>
  </si>
  <si>
    <t>Equipo de Oficina</t>
  </si>
  <si>
    <t>Equipo Medico-Sanitario y de Laboratorio</t>
  </si>
  <si>
    <t>3 24</t>
  </si>
  <si>
    <t>Equipo Educacional y Recreativo</t>
  </si>
  <si>
    <t>Equipo de Comunicaciones</t>
  </si>
  <si>
    <t>Otras Maquinarias y Equipo</t>
  </si>
  <si>
    <t>Equipo de computo</t>
  </si>
  <si>
    <t>3 32</t>
  </si>
  <si>
    <t>Const de Bienes de uso no comun</t>
  </si>
  <si>
    <t>TRANSF. AL SECTOR EXT.</t>
  </si>
  <si>
    <t>Indemnizacion al Personal</t>
  </si>
  <si>
    <t xml:space="preserve">Beca de estuidos en el interior </t>
  </si>
  <si>
    <t>Otras Transferencias a personas</t>
  </si>
  <si>
    <t>Trans. A Org.Internacionales</t>
  </si>
  <si>
    <t xml:space="preserve">CREDITO DE RESERVA </t>
  </si>
  <si>
    <t>Credito de reserva</t>
  </si>
  <si>
    <t>EGRESOS QUE NO AFECTAN AL PRESUPUESTO</t>
  </si>
  <si>
    <t>FIANZA DE FIDELIDAD DE EMPLEADOS RENGLON  011</t>
  </si>
  <si>
    <t xml:space="preserve">IMPUESTOS EFECTUADOS EN EL MES </t>
  </si>
  <si>
    <t>IGSS LABORAL DE EMPLEADOS RENGLON 011</t>
  </si>
  <si>
    <t xml:space="preserve">REINTEGRO AL COMITÉ OLIMPICO GUATEMALTECO </t>
  </si>
  <si>
    <t xml:space="preserve">REINTEGRO A LA C.D.A.G. </t>
  </si>
  <si>
    <t>TOTALES</t>
  </si>
  <si>
    <t>0 21</t>
  </si>
  <si>
    <t>Personal Supernumerario</t>
  </si>
  <si>
    <t>Servicios de Vigilancia</t>
  </si>
  <si>
    <t xml:space="preserve">Insecticidas, Fumigación y Similares </t>
  </si>
  <si>
    <t>Equipo de Transporte</t>
  </si>
  <si>
    <t>CDAG AMPLIACIÓN</t>
  </si>
  <si>
    <t>Total de Ingresos 2,026</t>
  </si>
  <si>
    <t>C.O.G. 2026</t>
  </si>
  <si>
    <t>Saldo de Caja 2026</t>
  </si>
  <si>
    <t>Sercicios Económicos, Finan. Conta. Y de Audi</t>
  </si>
  <si>
    <t xml:space="preserve">Servicios de Ing., Arq. Y supervición de obras </t>
  </si>
  <si>
    <t>Actualizado: 31 de marzo  2026</t>
  </si>
  <si>
    <t>(+) Saldo de febrero 2026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</si>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</sst>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Q&quot;* #,##0.00_-;\-&quot;Q&quot;* #,##0.00_-;_-&quot;Q&quot;* &quot;-&quot;??_-;_-@_-"/>
    <numFmt numFmtId="165" formatCode="&quot;Q&quot;#,##0.00"/>
    <numFmt numFmtId="166" formatCode="_(&quot;Q&quot;* #,##0.00_);_(&quot;Q&quot;* \(#,##0.00\);_(&quot;Q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4" fontId="7" fillId="0" borderId="3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4" fontId="9" fillId="0" borderId="4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4" fontId="0" fillId="0" borderId="0" xfId="0" applyNumberFormat="1"/>
    <xf numFmtId="4" fontId="10" fillId="0" borderId="0" xfId="0" applyNumberFormat="1" applyFont="1"/>
    <xf numFmtId="4" fontId="10" fillId="0" borderId="0" xfId="0" applyNumberFormat="1" applyFont="1" applyAlignment="1">
      <alignment horizontal="center"/>
    </xf>
    <xf numFmtId="0" fontId="10" fillId="0" borderId="0" xfId="0" applyFont="1"/>
    <xf numFmtId="165" fontId="10" fillId="0" borderId="0" xfId="0" applyNumberFormat="1" applyFont="1" applyAlignment="1">
      <alignment horizontal="center"/>
    </xf>
    <xf numFmtId="165" fontId="10" fillId="0" borderId="0" xfId="0" applyNumberFormat="1" applyFont="1"/>
    <xf numFmtId="165" fontId="10" fillId="0" borderId="5" xfId="0" applyNumberFormat="1" applyFont="1" applyBorder="1"/>
    <xf numFmtId="165" fontId="10" fillId="0" borderId="5" xfId="0" applyNumberFormat="1" applyFont="1" applyBorder="1" applyAlignment="1">
      <alignment horizontal="center"/>
    </xf>
    <xf numFmtId="0" fontId="7" fillId="0" borderId="0" xfId="0" applyFont="1"/>
    <xf numFmtId="0" fontId="11" fillId="0" borderId="0" xfId="0" applyFont="1"/>
    <xf numFmtId="165" fontId="6" fillId="0" borderId="6" xfId="0" applyNumberFormat="1" applyFont="1" applyBorder="1"/>
    <xf numFmtId="0" fontId="11" fillId="0" borderId="0" xfId="0" applyFont="1" applyAlignment="1">
      <alignment horizontal="left"/>
    </xf>
    <xf numFmtId="165" fontId="11" fillId="0" borderId="6" xfId="0" applyNumberFormat="1" applyFont="1" applyBorder="1"/>
    <xf numFmtId="165" fontId="0" fillId="0" borderId="0" xfId="0" applyNumberFormat="1"/>
    <xf numFmtId="0" fontId="0" fillId="0" borderId="0" xfId="0" applyAlignment="1">
      <alignment horizontal="center" vertical="center"/>
    </xf>
    <xf numFmtId="4" fontId="6" fillId="0" borderId="0" xfId="0" applyNumberFormat="1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/>
    <xf numFmtId="0" fontId="3" fillId="0" borderId="0" xfId="0" applyFont="1" applyAlignment="1">
      <alignment horizontal="center" vertical="center" wrapText="1"/>
    </xf>
    <xf numFmtId="0" fontId="13" fillId="0" borderId="0" xfId="0" applyFont="1"/>
    <xf numFmtId="0" fontId="3" fillId="0" borderId="0" xfId="0" applyFont="1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" fontId="12" fillId="0" borderId="16" xfId="0" applyNumberFormat="1" applyFont="1" applyBorder="1"/>
    <xf numFmtId="0" fontId="12" fillId="0" borderId="18" xfId="0" applyFont="1" applyBorder="1" applyAlignment="1">
      <alignment horizontal="left"/>
    </xf>
    <xf numFmtId="0" fontId="13" fillId="0" borderId="19" xfId="0" applyFont="1" applyBorder="1"/>
    <xf numFmtId="4" fontId="12" fillId="0" borderId="19" xfId="0" applyNumberFormat="1" applyFont="1" applyBorder="1"/>
    <xf numFmtId="4" fontId="12" fillId="0" borderId="20" xfId="0" applyNumberFormat="1" applyFont="1" applyBorder="1"/>
    <xf numFmtId="0" fontId="12" fillId="0" borderId="18" xfId="0" applyFont="1" applyBorder="1" applyAlignment="1">
      <alignment horizontal="center"/>
    </xf>
    <xf numFmtId="0" fontId="12" fillId="0" borderId="19" xfId="0" applyFont="1" applyBorder="1"/>
    <xf numFmtId="0" fontId="10" fillId="0" borderId="19" xfId="0" applyFont="1" applyBorder="1"/>
    <xf numFmtId="4" fontId="15" fillId="0" borderId="20" xfId="0" applyNumberFormat="1" applyFont="1" applyBorder="1"/>
    <xf numFmtId="2" fontId="12" fillId="0" borderId="19" xfId="0" applyNumberFormat="1" applyFont="1" applyBorder="1" applyAlignment="1">
      <alignment horizontal="right"/>
    </xf>
    <xf numFmtId="4" fontId="12" fillId="0" borderId="19" xfId="0" applyNumberFormat="1" applyFont="1" applyBorder="1" applyAlignment="1">
      <alignment horizontal="right"/>
    </xf>
    <xf numFmtId="4" fontId="12" fillId="0" borderId="0" xfId="0" applyNumberFormat="1" applyFont="1"/>
    <xf numFmtId="0" fontId="12" fillId="0" borderId="19" xfId="0" applyFont="1" applyBorder="1" applyAlignment="1">
      <alignment horizontal="left"/>
    </xf>
    <xf numFmtId="4" fontId="12" fillId="2" borderId="19" xfId="0" applyNumberFormat="1" applyFont="1" applyFill="1" applyBorder="1"/>
    <xf numFmtId="4" fontId="15" fillId="2" borderId="19" xfId="0" applyNumberFormat="1" applyFont="1" applyFill="1" applyBorder="1"/>
    <xf numFmtId="0" fontId="13" fillId="0" borderId="18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/>
    <xf numFmtId="4" fontId="12" fillId="0" borderId="22" xfId="0" applyNumberFormat="1" applyFont="1" applyBorder="1"/>
    <xf numFmtId="0" fontId="12" fillId="0" borderId="23" xfId="0" applyFont="1" applyBorder="1" applyAlignment="1">
      <alignment horizontal="center"/>
    </xf>
    <xf numFmtId="0" fontId="12" fillId="0" borderId="24" xfId="0" applyFont="1" applyBorder="1"/>
    <xf numFmtId="4" fontId="12" fillId="0" borderId="24" xfId="0" applyNumberFormat="1" applyFont="1" applyBorder="1"/>
    <xf numFmtId="4" fontId="12" fillId="0" borderId="25" xfId="0" applyNumberFormat="1" applyFont="1" applyBorder="1"/>
    <xf numFmtId="4" fontId="16" fillId="0" borderId="0" xfId="0" applyNumberFormat="1" applyFont="1"/>
    <xf numFmtId="0" fontId="12" fillId="0" borderId="15" xfId="0" applyFont="1" applyBorder="1" applyAlignment="1">
      <alignment horizontal="center"/>
    </xf>
    <xf numFmtId="0" fontId="12" fillId="0" borderId="16" xfId="0" applyFont="1" applyBorder="1"/>
    <xf numFmtId="4" fontId="12" fillId="0" borderId="16" xfId="0" applyNumberFormat="1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horizontal="center" vertical="center" wrapText="1"/>
    </xf>
    <xf numFmtId="4" fontId="0" fillId="3" borderId="0" xfId="0" applyNumberFormat="1" applyFill="1"/>
    <xf numFmtId="0" fontId="12" fillId="0" borderId="18" xfId="0" applyFont="1" applyBorder="1"/>
    <xf numFmtId="0" fontId="17" fillId="0" borderId="19" xfId="0" applyFont="1" applyBorder="1"/>
    <xf numFmtId="0" fontId="18" fillId="2" borderId="19" xfId="0" applyFont="1" applyFill="1" applyBorder="1" applyAlignment="1">
      <alignment horizontal="left"/>
    </xf>
    <xf numFmtId="0" fontId="18" fillId="0" borderId="19" xfId="0" applyFont="1" applyBorder="1"/>
    <xf numFmtId="0" fontId="18" fillId="0" borderId="22" xfId="0" applyFont="1" applyBorder="1"/>
    <xf numFmtId="4" fontId="15" fillId="0" borderId="22" xfId="0" applyNumberFormat="1" applyFont="1" applyBorder="1"/>
    <xf numFmtId="0" fontId="15" fillId="0" borderId="0" xfId="0" applyFont="1"/>
    <xf numFmtId="4" fontId="15" fillId="0" borderId="0" xfId="0" applyNumberFormat="1" applyFont="1"/>
    <xf numFmtId="0" fontId="19" fillId="0" borderId="0" xfId="0" applyFont="1"/>
    <xf numFmtId="0" fontId="2" fillId="0" borderId="0" xfId="0" applyFont="1"/>
    <xf numFmtId="0" fontId="4" fillId="0" borderId="0" xfId="0" applyFont="1"/>
    <xf numFmtId="4" fontId="4" fillId="0" borderId="0" xfId="0" applyNumberFormat="1" applyFont="1"/>
    <xf numFmtId="0" fontId="0" fillId="2" borderId="0" xfId="0" applyFill="1"/>
    <xf numFmtId="4" fontId="15" fillId="2" borderId="0" xfId="0" applyNumberFormat="1" applyFont="1" applyFill="1"/>
    <xf numFmtId="4" fontId="4" fillId="2" borderId="0" xfId="0" applyNumberFormat="1" applyFont="1" applyFill="1"/>
    <xf numFmtId="4" fontId="2" fillId="0" borderId="0" xfId="0" applyNumberFormat="1" applyFont="1"/>
    <xf numFmtId="0" fontId="15" fillId="2" borderId="0" xfId="0" applyFont="1" applyFill="1"/>
    <xf numFmtId="4" fontId="19" fillId="2" borderId="0" xfId="0" applyNumberFormat="1" applyFont="1" applyFill="1"/>
    <xf numFmtId="0" fontId="16" fillId="0" borderId="0" xfId="0" applyFont="1"/>
    <xf numFmtId="4" fontId="19" fillId="0" borderId="0" xfId="0" applyNumberFormat="1" applyFont="1"/>
    <xf numFmtId="0" fontId="20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22" fillId="2" borderId="0" xfId="0" applyNumberFormat="1" applyFont="1" applyFill="1" applyAlignment="1">
      <alignment horizontal="center" vertical="center" wrapText="1"/>
    </xf>
    <xf numFmtId="4" fontId="4" fillId="0" borderId="0" xfId="1" applyNumberFormat="1" applyFont="1"/>
    <xf numFmtId="2" fontId="12" fillId="2" borderId="19" xfId="0" applyNumberFormat="1" applyFont="1" applyFill="1" applyBorder="1" applyAlignment="1">
      <alignment horizontal="right"/>
    </xf>
    <xf numFmtId="4" fontId="12" fillId="2" borderId="19" xfId="0" applyNumberFormat="1" applyFont="1" applyFill="1" applyBorder="1" applyAlignment="1">
      <alignment horizontal="right"/>
    </xf>
    <xf numFmtId="0" fontId="12" fillId="2" borderId="19" xfId="0" applyFont="1" applyFill="1" applyBorder="1" applyAlignment="1">
      <alignment horizontal="right"/>
    </xf>
    <xf numFmtId="0" fontId="12" fillId="0" borderId="23" xfId="0" applyFont="1" applyBorder="1"/>
    <xf numFmtId="0" fontId="12" fillId="0" borderId="24" xfId="0" applyFont="1" applyBorder="1" applyAlignment="1">
      <alignment horizontal="center"/>
    </xf>
    <xf numFmtId="4" fontId="15" fillId="0" borderId="24" xfId="0" applyNumberFormat="1" applyFont="1" applyBorder="1"/>
    <xf numFmtId="4" fontId="24" fillId="0" borderId="3" xfId="0" applyNumberFormat="1" applyFont="1" applyBorder="1" applyAlignment="1">
      <alignment horizontal="right"/>
    </xf>
    <xf numFmtId="0" fontId="21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left"/>
    </xf>
    <xf numFmtId="0" fontId="13" fillId="0" borderId="16" xfId="0" applyFont="1" applyBorder="1"/>
    <xf numFmtId="4" fontId="12" fillId="0" borderId="17" xfId="0" applyNumberFormat="1" applyFont="1" applyBorder="1"/>
    <xf numFmtId="4" fontId="25" fillId="2" borderId="0" xfId="0" applyNumberFormat="1" applyFont="1" applyFill="1"/>
    <xf numFmtId="4" fontId="22" fillId="2" borderId="0" xfId="0" applyNumberFormat="1" applyFont="1" applyFill="1"/>
    <xf numFmtId="0" fontId="9" fillId="0" borderId="0" xfId="0" applyFont="1"/>
    <xf numFmtId="0" fontId="26" fillId="0" borderId="0" xfId="0" applyFont="1"/>
    <xf numFmtId="4" fontId="22" fillId="0" borderId="0" xfId="0" applyNumberFormat="1" applyFont="1"/>
    <xf numFmtId="4" fontId="26" fillId="0" borderId="0" xfId="0" applyNumberFormat="1" applyFont="1"/>
    <xf numFmtId="4" fontId="9" fillId="0" borderId="0" xfId="0" applyNumberFormat="1" applyFont="1"/>
    <xf numFmtId="0" fontId="23" fillId="0" borderId="0" xfId="0" applyFont="1"/>
    <xf numFmtId="4" fontId="25" fillId="2" borderId="0" xfId="0" applyNumberFormat="1" applyFont="1" applyFill="1" applyAlignment="1">
      <alignment horizontal="center" vertical="center"/>
    </xf>
    <xf numFmtId="4" fontId="7" fillId="0" borderId="0" xfId="0" applyNumberFormat="1" applyFont="1"/>
    <xf numFmtId="0" fontId="4" fillId="2" borderId="0" xfId="0" applyFont="1" applyFill="1"/>
    <xf numFmtId="4" fontId="23" fillId="0" borderId="0" xfId="0" applyNumberFormat="1" applyFont="1"/>
    <xf numFmtId="0" fontId="16" fillId="2" borderId="0" xfId="0" applyFont="1" applyFill="1"/>
    <xf numFmtId="4" fontId="9" fillId="2" borderId="0" xfId="0" applyNumberFormat="1" applyFont="1" applyFill="1"/>
    <xf numFmtId="4" fontId="23" fillId="2" borderId="0" xfId="0" applyNumberFormat="1" applyFont="1" applyFill="1"/>
    <xf numFmtId="0" fontId="23" fillId="2" borderId="0" xfId="0" applyFont="1" applyFill="1"/>
    <xf numFmtId="166" fontId="23" fillId="2" borderId="0" xfId="0" applyNumberFormat="1" applyFont="1" applyFill="1"/>
    <xf numFmtId="164" fontId="23" fillId="2" borderId="0" xfId="0" applyNumberFormat="1" applyFont="1" applyFill="1"/>
    <xf numFmtId="166" fontId="23" fillId="0" borderId="0" xfId="0" applyNumberFormat="1" applyFont="1"/>
    <xf numFmtId="0" fontId="13" fillId="5" borderId="10" xfId="0" applyFont="1" applyFill="1" applyBorder="1" applyAlignment="1">
      <alignment vertical="center" wrapText="1"/>
    </xf>
    <xf numFmtId="0" fontId="13" fillId="5" borderId="11" xfId="0" applyFont="1" applyFill="1" applyBorder="1" applyAlignment="1">
      <alignment horizontal="center" vertical="center" wrapText="1"/>
    </xf>
    <xf numFmtId="2" fontId="13" fillId="5" borderId="11" xfId="0" applyNumberFormat="1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9" fontId="13" fillId="5" borderId="10" xfId="0" applyNumberFormat="1" applyFont="1" applyFill="1" applyBorder="1" applyAlignment="1">
      <alignment horizontal="center" vertical="center" wrapText="1"/>
    </xf>
    <xf numFmtId="9" fontId="13" fillId="5" borderId="14" xfId="0" applyNumberFormat="1" applyFont="1" applyFill="1" applyBorder="1" applyAlignment="1">
      <alignment horizontal="center" vertical="center" wrapText="1"/>
    </xf>
    <xf numFmtId="9" fontId="13" fillId="5" borderId="8" xfId="0" applyNumberFormat="1" applyFont="1" applyFill="1" applyBorder="1" applyAlignment="1">
      <alignment horizontal="center" vertical="center" wrapText="1"/>
    </xf>
    <xf numFmtId="9" fontId="13" fillId="5" borderId="13" xfId="0" applyNumberFormat="1" applyFont="1" applyFill="1" applyBorder="1" applyAlignment="1">
      <alignment horizontal="center" vertical="center" wrapText="1"/>
    </xf>
    <xf numFmtId="9" fontId="13" fillId="5" borderId="9" xfId="0" applyNumberFormat="1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4" fontId="13" fillId="5" borderId="11" xfId="0" applyNumberFormat="1" applyFont="1" applyFill="1" applyBorder="1" applyAlignment="1">
      <alignment horizontal="center" vertical="center" wrapText="1"/>
    </xf>
    <xf numFmtId="9" fontId="13" fillId="5" borderId="11" xfId="0" applyNumberFormat="1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13" fillId="5" borderId="7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2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5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1</xdr:col>
      <xdr:colOff>76200</xdr:colOff>
      <xdr:row>8</xdr:row>
      <xdr:rowOff>142875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CF004914-1808-404D-858B-960065FE9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0"/>
          <a:ext cx="1552575" cy="1685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76462-45D2-4838-B20E-DCD05FDF8643}">
  <dimension ref="A2:AB46"/>
  <sheetViews>
    <sheetView view="pageBreakPreview" zoomScale="60" zoomScaleNormal="100" workbookViewId="0">
      <selection activeCell="J39" sqref="J39"/>
    </sheetView>
  </sheetViews>
  <sheetFormatPr baseColWidth="10" defaultRowHeight="15" x14ac:dyDescent="0.25"/>
  <cols>
    <col min="1" max="1" width="24.7109375" bestFit="1" customWidth="1"/>
    <col min="2" max="2" width="13" customWidth="1"/>
    <col min="3" max="3" width="17.140625" customWidth="1"/>
    <col min="4" max="4" width="14.7109375" customWidth="1"/>
    <col min="5" max="5" width="12.28515625" customWidth="1"/>
    <col min="6" max="6" width="10.140625" bestFit="1" customWidth="1"/>
    <col min="7" max="7" width="10.85546875" customWidth="1"/>
    <col min="8" max="8" width="10.140625" bestFit="1" customWidth="1"/>
    <col min="9" max="9" width="19.42578125" customWidth="1"/>
    <col min="10" max="10" width="14.140625" bestFit="1" customWidth="1"/>
    <col min="11" max="11" width="11.28515625" bestFit="1" customWidth="1"/>
    <col min="12" max="12" width="13.42578125" bestFit="1" customWidth="1"/>
    <col min="13" max="13" width="12.7109375" bestFit="1" customWidth="1"/>
    <col min="14" max="14" width="15.140625" customWidth="1"/>
  </cols>
  <sheetData>
    <row r="2" spans="1:28" ht="15" customHeight="1" x14ac:dyDescent="0.25">
      <c r="H2" s="28"/>
      <c r="J2" s="28"/>
      <c r="K2" s="28"/>
      <c r="L2" s="28"/>
      <c r="M2" s="28"/>
      <c r="N2" s="28"/>
      <c r="O2" s="28"/>
      <c r="P2" s="28"/>
      <c r="Q2" s="28"/>
      <c r="R2" s="29"/>
      <c r="S2" s="29"/>
      <c r="T2" s="29"/>
      <c r="U2" s="29"/>
      <c r="V2" s="29"/>
      <c r="W2" s="29"/>
      <c r="X2" s="29"/>
    </row>
    <row r="3" spans="1:28" ht="15" customHeight="1" x14ac:dyDescent="0.25">
      <c r="D3" s="148" t="s">
        <v>43</v>
      </c>
      <c r="E3" s="148"/>
      <c r="F3" s="148"/>
      <c r="G3" s="148"/>
      <c r="H3" s="148"/>
      <c r="I3" s="148"/>
      <c r="J3" s="148"/>
      <c r="K3" s="148"/>
      <c r="L3" s="28"/>
      <c r="M3" s="28"/>
      <c r="N3" s="28"/>
      <c r="O3" s="28"/>
      <c r="P3" s="28"/>
      <c r="Q3" s="28"/>
      <c r="R3" s="29"/>
      <c r="S3" s="29"/>
      <c r="T3" s="29"/>
      <c r="U3" s="29"/>
      <c r="V3" s="29"/>
      <c r="W3" s="29"/>
      <c r="X3" s="29"/>
    </row>
    <row r="4" spans="1:28" ht="15.75" customHeight="1" x14ac:dyDescent="0.25">
      <c r="D4" s="149" t="s">
        <v>44</v>
      </c>
      <c r="E4" s="149"/>
      <c r="F4" s="149"/>
      <c r="G4" s="149"/>
      <c r="H4" s="149"/>
      <c r="I4" s="149"/>
      <c r="J4" s="149"/>
      <c r="K4" s="149"/>
      <c r="L4" s="28"/>
      <c r="M4" s="28"/>
      <c r="N4" s="28"/>
      <c r="O4" s="28"/>
      <c r="P4" s="28"/>
      <c r="Q4" s="28"/>
      <c r="R4" s="29"/>
      <c r="S4" s="29"/>
      <c r="T4" s="29"/>
      <c r="U4" s="29"/>
      <c r="V4" s="29"/>
      <c r="W4" s="29"/>
      <c r="X4" s="29"/>
      <c r="Y4" s="30"/>
      <c r="Z4" s="30"/>
      <c r="AA4" s="30"/>
      <c r="AB4" s="30"/>
    </row>
    <row r="5" spans="1:28" ht="15.75" customHeight="1" x14ac:dyDescent="0.25">
      <c r="D5" s="148" t="s">
        <v>45</v>
      </c>
      <c r="E5" s="148"/>
      <c r="F5" s="148"/>
      <c r="G5" s="148"/>
      <c r="H5" s="148"/>
      <c r="I5" s="148"/>
      <c r="J5" s="148"/>
      <c r="K5" s="148"/>
      <c r="L5" s="33"/>
      <c r="M5" s="33"/>
      <c r="N5" s="33"/>
      <c r="O5" s="33"/>
      <c r="P5" s="33"/>
      <c r="Q5" s="33"/>
      <c r="R5" s="31"/>
      <c r="S5" s="31"/>
      <c r="T5" s="31"/>
      <c r="U5" s="31"/>
      <c r="V5" s="31"/>
      <c r="W5" s="31"/>
      <c r="X5" s="31"/>
      <c r="Y5" s="32"/>
      <c r="Z5" s="32"/>
      <c r="AA5" s="30"/>
      <c r="AB5" s="30"/>
    </row>
    <row r="6" spans="1:28" x14ac:dyDescent="0.25">
      <c r="D6" s="149" t="s">
        <v>221</v>
      </c>
      <c r="E6" s="149"/>
      <c r="F6" s="149"/>
      <c r="G6" s="149"/>
      <c r="H6" s="149"/>
      <c r="I6" s="149"/>
      <c r="J6" s="149"/>
      <c r="K6" s="149"/>
      <c r="M6" s="34"/>
    </row>
    <row r="7" spans="1:28" x14ac:dyDescent="0.25">
      <c r="A7" s="1"/>
      <c r="B7" s="1"/>
      <c r="C7" s="1"/>
      <c r="D7" s="1"/>
      <c r="E7" s="1"/>
      <c r="G7" s="150" t="s">
        <v>0</v>
      </c>
      <c r="H7" s="150"/>
    </row>
    <row r="8" spans="1:28" x14ac:dyDescent="0.25">
      <c r="A8" s="1"/>
      <c r="B8" s="1"/>
      <c r="C8" s="1"/>
      <c r="D8" s="1"/>
      <c r="E8" s="1"/>
      <c r="F8" s="2"/>
      <c r="G8" s="2"/>
      <c r="H8" s="2"/>
    </row>
    <row r="9" spans="1:28" x14ac:dyDescent="0.25">
      <c r="A9" s="3"/>
      <c r="B9" s="3"/>
      <c r="C9" s="3"/>
      <c r="D9" s="3"/>
      <c r="E9" s="3"/>
      <c r="F9" s="4"/>
      <c r="G9" s="4"/>
      <c r="H9" s="4"/>
    </row>
    <row r="10" spans="1:28" x14ac:dyDescent="0.25">
      <c r="A10" s="1"/>
      <c r="B10" s="1"/>
      <c r="C10" s="1"/>
      <c r="D10" s="1"/>
      <c r="E10" s="1"/>
      <c r="F10" s="2"/>
      <c r="G10" s="2"/>
      <c r="H10" s="2"/>
    </row>
    <row r="11" spans="1:28" ht="15" customHeight="1" thickBot="1" x14ac:dyDescent="0.3">
      <c r="A11" s="3"/>
      <c r="B11" s="3"/>
      <c r="C11" s="3"/>
      <c r="D11" s="3"/>
      <c r="E11" s="3"/>
      <c r="F11" s="4"/>
      <c r="G11" s="4"/>
      <c r="H11" s="4"/>
    </row>
    <row r="12" spans="1:28" ht="16.5" thickTop="1" thickBot="1" x14ac:dyDescent="0.3">
      <c r="A12" s="99" t="s">
        <v>1</v>
      </c>
      <c r="B12" s="99" t="s">
        <v>2</v>
      </c>
      <c r="C12" s="99" t="s">
        <v>3</v>
      </c>
      <c r="D12" s="99" t="s">
        <v>4</v>
      </c>
      <c r="E12" s="99" t="s">
        <v>5</v>
      </c>
      <c r="F12" s="99" t="s">
        <v>6</v>
      </c>
      <c r="G12" s="99" t="s">
        <v>7</v>
      </c>
      <c r="H12" s="99" t="s">
        <v>8</v>
      </c>
      <c r="I12" s="99" t="s">
        <v>9</v>
      </c>
      <c r="J12" s="99" t="s">
        <v>10</v>
      </c>
      <c r="K12" s="99" t="s">
        <v>11</v>
      </c>
      <c r="L12" s="99" t="s">
        <v>12</v>
      </c>
      <c r="M12" s="99" t="s">
        <v>13</v>
      </c>
      <c r="N12" s="99" t="s">
        <v>14</v>
      </c>
    </row>
    <row r="13" spans="1:28" ht="16.5" thickTop="1" thickBot="1" x14ac:dyDescent="0.3">
      <c r="A13" s="99" t="s">
        <v>15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28" ht="16.5" thickTop="1" thickBot="1" x14ac:dyDescent="0.3">
      <c r="A14" s="99" t="s">
        <v>16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7">
        <v>0</v>
      </c>
      <c r="J14" s="6">
        <v>0</v>
      </c>
      <c r="K14" s="6">
        <v>0</v>
      </c>
      <c r="L14" s="6">
        <v>0</v>
      </c>
      <c r="M14" s="6">
        <v>0</v>
      </c>
      <c r="N14" s="6">
        <f>SUM(B14:M14)</f>
        <v>0</v>
      </c>
    </row>
    <row r="15" spans="1:28" ht="16.5" thickTop="1" thickBot="1" x14ac:dyDescent="0.3">
      <c r="A15" s="99" t="s">
        <v>17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7">
        <v>0</v>
      </c>
      <c r="J15" s="6">
        <v>0</v>
      </c>
      <c r="K15" s="6">
        <v>0</v>
      </c>
      <c r="L15" s="6">
        <v>0</v>
      </c>
      <c r="M15" s="6">
        <v>0</v>
      </c>
      <c r="N15" s="6">
        <f>SUM(B15:M15)</f>
        <v>0</v>
      </c>
    </row>
    <row r="16" spans="1:28" ht="16.5" thickTop="1" thickBot="1" x14ac:dyDescent="0.3">
      <c r="A16" s="100"/>
      <c r="B16" s="96"/>
      <c r="C16" s="96"/>
      <c r="D16" s="96"/>
      <c r="E16" s="96"/>
      <c r="F16" s="96"/>
      <c r="G16" s="96"/>
      <c r="H16" s="6"/>
      <c r="I16" s="96"/>
      <c r="J16" s="6"/>
      <c r="K16" s="6"/>
      <c r="L16" s="6"/>
      <c r="M16" s="6"/>
      <c r="N16" s="6">
        <f>SUM(B16:K16)</f>
        <v>0</v>
      </c>
    </row>
    <row r="17" spans="1:14" ht="16.5" thickTop="1" thickBot="1" x14ac:dyDescent="0.3">
      <c r="A17" s="99" t="s">
        <v>18</v>
      </c>
      <c r="B17" s="6"/>
      <c r="C17" s="6"/>
      <c r="D17" s="6"/>
      <c r="E17" s="6"/>
      <c r="F17" s="6"/>
      <c r="G17" s="6"/>
      <c r="H17" s="6"/>
      <c r="I17" s="7"/>
      <c r="J17" s="6"/>
      <c r="K17" s="6"/>
      <c r="L17" s="6"/>
      <c r="M17" s="6"/>
      <c r="N17" s="6"/>
    </row>
    <row r="18" spans="1:14" ht="16.5" thickTop="1" thickBot="1" x14ac:dyDescent="0.3">
      <c r="A18" s="99" t="s">
        <v>16</v>
      </c>
      <c r="B18" s="6">
        <v>727626.64</v>
      </c>
      <c r="C18" s="6">
        <v>763146.73</v>
      </c>
      <c r="D18" s="6">
        <v>763146.73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f>SUM(B18:M18)</f>
        <v>2253920.1</v>
      </c>
    </row>
    <row r="19" spans="1:14" ht="16.5" thickTop="1" thickBot="1" x14ac:dyDescent="0.3">
      <c r="A19" s="101" t="s">
        <v>215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f>SUM(B19:M19)</f>
        <v>0</v>
      </c>
    </row>
    <row r="20" spans="1:14" ht="16.5" thickTop="1" thickBot="1" x14ac:dyDescent="0.3">
      <c r="A20" s="99" t="s">
        <v>17</v>
      </c>
      <c r="B20" s="6">
        <v>0</v>
      </c>
      <c r="C20" s="6">
        <v>0</v>
      </c>
      <c r="D20" s="6">
        <v>14406.91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f>SUM(B20:M20)</f>
        <v>14406.91</v>
      </c>
    </row>
    <row r="21" spans="1:14" ht="16.5" thickTop="1" thickBot="1" x14ac:dyDescent="0.3">
      <c r="A21" s="99" t="s">
        <v>19</v>
      </c>
      <c r="B21" s="6">
        <f>5992.4+51074.58</f>
        <v>57066.98</v>
      </c>
      <c r="C21" s="6">
        <f>8235.25+49002.89</f>
        <v>57238.14</v>
      </c>
      <c r="D21" s="6">
        <f>12456.87+52728.19</f>
        <v>65185.060000000005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f>SUM(B21:M21)</f>
        <v>179490.18</v>
      </c>
    </row>
    <row r="22" spans="1:14" ht="16.5" thickTop="1" thickBot="1" x14ac:dyDescent="0.3">
      <c r="A22" s="99"/>
      <c r="B22" s="6"/>
      <c r="C22" s="6"/>
      <c r="D22" s="6"/>
      <c r="E22" s="6"/>
      <c r="F22" s="6"/>
      <c r="G22" s="6"/>
      <c r="H22" s="6"/>
      <c r="I22" s="8"/>
      <c r="J22" s="6"/>
      <c r="K22" s="8"/>
      <c r="L22" s="8"/>
      <c r="M22" s="8"/>
      <c r="N22" s="6"/>
    </row>
    <row r="23" spans="1:14" ht="16.5" thickTop="1" thickBot="1" x14ac:dyDescent="0.3">
      <c r="A23" s="99" t="s">
        <v>20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</row>
    <row r="24" spans="1:14" ht="16.5" thickTop="1" thickBot="1" x14ac:dyDescent="0.3">
      <c r="A24" s="99" t="s">
        <v>21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</row>
    <row r="25" spans="1:14" ht="16.5" thickTop="1" thickBot="1" x14ac:dyDescent="0.3">
      <c r="A25" s="99" t="s">
        <v>22</v>
      </c>
      <c r="B25" s="9">
        <f>SUM(B14:B24)</f>
        <v>784693.62</v>
      </c>
      <c r="C25" s="9">
        <f t="shared" ref="C25:J25" si="0">SUM(C14:C24)</f>
        <v>820384.87</v>
      </c>
      <c r="D25" s="9">
        <f t="shared" si="0"/>
        <v>842738.70000000007</v>
      </c>
      <c r="E25" s="9">
        <f t="shared" si="0"/>
        <v>0</v>
      </c>
      <c r="F25" s="9">
        <f t="shared" si="0"/>
        <v>0</v>
      </c>
      <c r="G25" s="9">
        <f t="shared" si="0"/>
        <v>0</v>
      </c>
      <c r="H25" s="9">
        <f t="shared" si="0"/>
        <v>0</v>
      </c>
      <c r="I25" s="9">
        <f t="shared" si="0"/>
        <v>0</v>
      </c>
      <c r="J25" s="9">
        <f t="shared" si="0"/>
        <v>0</v>
      </c>
      <c r="K25" s="9">
        <f>SUM(K14:K24)</f>
        <v>0</v>
      </c>
      <c r="L25" s="9">
        <f>SUM(L13:L24)</f>
        <v>0</v>
      </c>
      <c r="M25" s="9">
        <f>SUM(M13:M24)</f>
        <v>0</v>
      </c>
      <c r="N25" s="9">
        <f>SUM(N13:N24)</f>
        <v>2447817.1900000004</v>
      </c>
    </row>
    <row r="26" spans="1:14" ht="15.75" thickTop="1" x14ac:dyDescent="0.25">
      <c r="A26" s="1"/>
      <c r="B26" s="1"/>
      <c r="C26" s="10"/>
      <c r="D26" s="2"/>
      <c r="E26" s="11"/>
      <c r="F26" s="2" t="s">
        <v>23</v>
      </c>
      <c r="G26" s="2"/>
      <c r="H26" s="2"/>
    </row>
    <row r="27" spans="1:14" x14ac:dyDescent="0.25">
      <c r="A27" s="152" t="s">
        <v>24</v>
      </c>
      <c r="B27" s="152"/>
      <c r="C27" s="152"/>
      <c r="D27" s="152"/>
      <c r="E27" s="1" t="s">
        <v>25</v>
      </c>
      <c r="F27" s="2"/>
      <c r="G27" s="11"/>
      <c r="H27" s="2"/>
      <c r="I27" s="12"/>
    </row>
    <row r="28" spans="1:14" x14ac:dyDescent="0.25">
      <c r="A28" s="13" t="s">
        <v>26</v>
      </c>
      <c r="B28" s="13"/>
      <c r="C28" s="13"/>
      <c r="D28" s="14"/>
      <c r="E28" s="15"/>
      <c r="F28" s="15"/>
      <c r="G28" s="15"/>
      <c r="H28" s="15"/>
    </row>
    <row r="29" spans="1:14" x14ac:dyDescent="0.25">
      <c r="A29" s="13" t="s">
        <v>27</v>
      </c>
      <c r="B29" s="13"/>
      <c r="C29" s="16">
        <f>D20</f>
        <v>14406.91</v>
      </c>
      <c r="E29" s="15" t="s">
        <v>28</v>
      </c>
      <c r="I29" s="17">
        <f>+C38</f>
        <v>14858899.369999999</v>
      </c>
    </row>
    <row r="30" spans="1:14" x14ac:dyDescent="0.25">
      <c r="A30" s="13" t="s">
        <v>29</v>
      </c>
      <c r="B30" s="13"/>
      <c r="C30" s="16">
        <f>D18</f>
        <v>763146.73</v>
      </c>
      <c r="E30" s="15" t="s">
        <v>30</v>
      </c>
      <c r="I30" s="18">
        <v>736620.36</v>
      </c>
    </row>
    <row r="31" spans="1:14" x14ac:dyDescent="0.25">
      <c r="A31" s="13" t="s">
        <v>31</v>
      </c>
      <c r="B31" s="13"/>
      <c r="C31" s="19">
        <f>D21</f>
        <v>65185.060000000005</v>
      </c>
      <c r="E31" s="15"/>
      <c r="I31" s="17">
        <f>+I29-I30</f>
        <v>14122279.01</v>
      </c>
    </row>
    <row r="32" spans="1:14" x14ac:dyDescent="0.25">
      <c r="A32" s="13" t="s">
        <v>28</v>
      </c>
      <c r="B32" s="13"/>
      <c r="C32" s="16">
        <f>SUM(C29:C31)</f>
        <v>842738.70000000007</v>
      </c>
      <c r="E32" s="15" t="s">
        <v>32</v>
      </c>
      <c r="I32" s="18">
        <v>0</v>
      </c>
    </row>
    <row r="33" spans="1:13" x14ac:dyDescent="0.25">
      <c r="A33" s="20" t="s">
        <v>222</v>
      </c>
      <c r="B33" s="15"/>
      <c r="C33" s="19">
        <v>14012829.32</v>
      </c>
      <c r="E33" s="3"/>
      <c r="I33" s="17">
        <f>+I31+I32</f>
        <v>14122279.01</v>
      </c>
      <c r="K33" s="12"/>
      <c r="L33" s="12"/>
      <c r="M33" s="12"/>
    </row>
    <row r="34" spans="1:13" x14ac:dyDescent="0.25">
      <c r="A34" s="15" t="s">
        <v>33</v>
      </c>
      <c r="B34" s="15"/>
      <c r="C34" s="16">
        <f>C32+C33</f>
        <v>14855568.02</v>
      </c>
      <c r="E34" s="15" t="s">
        <v>34</v>
      </c>
      <c r="I34" s="18">
        <v>0</v>
      </c>
    </row>
    <row r="35" spans="1:13" ht="15.75" thickBot="1" x14ac:dyDescent="0.3">
      <c r="A35" s="21" t="s">
        <v>35</v>
      </c>
      <c r="B35" s="21"/>
      <c r="C35" s="18">
        <v>0</v>
      </c>
      <c r="E35" s="3" t="s">
        <v>36</v>
      </c>
      <c r="I35" s="22">
        <f>+I33-I34</f>
        <v>14122279.01</v>
      </c>
    </row>
    <row r="36" spans="1:13" ht="15.75" thickTop="1" x14ac:dyDescent="0.25">
      <c r="A36" s="15" t="s">
        <v>33</v>
      </c>
      <c r="B36" s="15"/>
      <c r="C36" s="16">
        <f>C34-C35</f>
        <v>14855568.02</v>
      </c>
    </row>
    <row r="37" spans="1:13" x14ac:dyDescent="0.25">
      <c r="A37" s="21" t="s">
        <v>37</v>
      </c>
      <c r="B37" s="21"/>
      <c r="C37" s="18">
        <v>3331.35</v>
      </c>
    </row>
    <row r="38" spans="1:13" ht="15.75" thickBot="1" x14ac:dyDescent="0.3">
      <c r="A38" s="23" t="s">
        <v>216</v>
      </c>
      <c r="B38" s="23"/>
      <c r="C38" s="24">
        <f>+C36+C37</f>
        <v>14858899.369999999</v>
      </c>
      <c r="I38" s="25"/>
      <c r="J38" s="25"/>
    </row>
    <row r="39" spans="1:13" ht="15.75" thickTop="1" x14ac:dyDescent="0.25">
      <c r="A39" s="21"/>
      <c r="B39" s="21"/>
      <c r="C39" s="21"/>
      <c r="I39" s="25"/>
      <c r="K39" s="12"/>
      <c r="L39" s="12"/>
      <c r="M39" s="12"/>
    </row>
    <row r="40" spans="1:13" x14ac:dyDescent="0.25">
      <c r="A40" s="15"/>
      <c r="C40" s="15"/>
      <c r="D40" s="15"/>
      <c r="I40" s="12"/>
    </row>
    <row r="41" spans="1:13" x14ac:dyDescent="0.25">
      <c r="C41" s="15"/>
    </row>
    <row r="42" spans="1:13" x14ac:dyDescent="0.25">
      <c r="A42" s="151" t="s">
        <v>38</v>
      </c>
      <c r="B42" s="151"/>
      <c r="E42" s="26" t="s">
        <v>39</v>
      </c>
    </row>
    <row r="43" spans="1:13" x14ac:dyDescent="0.25">
      <c r="A43" s="151" t="s">
        <v>40</v>
      </c>
      <c r="B43" s="151"/>
      <c r="E43" s="26" t="s">
        <v>41</v>
      </c>
    </row>
    <row r="44" spans="1:13" x14ac:dyDescent="0.25">
      <c r="C44" s="15"/>
      <c r="G44" s="27"/>
      <c r="H44" s="27"/>
    </row>
    <row r="45" spans="1:13" x14ac:dyDescent="0.25">
      <c r="C45" s="3"/>
      <c r="G45" s="3"/>
      <c r="H45" s="3"/>
    </row>
    <row r="46" spans="1:13" x14ac:dyDescent="0.25">
      <c r="F46" s="3"/>
      <c r="G46" s="3" t="s">
        <v>42</v>
      </c>
      <c r="H46" s="3"/>
    </row>
  </sheetData>
  <mergeCells count="8">
    <mergeCell ref="A42:B42"/>
    <mergeCell ref="A43:B43"/>
    <mergeCell ref="G7:H7"/>
    <mergeCell ref="D3:K3"/>
    <mergeCell ref="D4:K4"/>
    <mergeCell ref="D5:K5"/>
    <mergeCell ref="D6:K6"/>
    <mergeCell ref="A27:D27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C00E1-8D85-4719-8889-4636DDE31985}">
  <dimension ref="B3:AD168"/>
  <sheetViews>
    <sheetView tabSelected="1" view="pageBreakPreview" zoomScale="60" zoomScaleNormal="100" workbookViewId="0">
      <selection activeCell="Q9" sqref="Q9"/>
    </sheetView>
  </sheetViews>
  <sheetFormatPr baseColWidth="10" defaultRowHeight="15" x14ac:dyDescent="0.25"/>
  <cols>
    <col min="1" max="1" width="6.5703125" customWidth="1"/>
    <col min="2" max="4" width="11.42578125" hidden="1" customWidth="1"/>
    <col min="5" max="5" width="8.5703125" hidden="1" customWidth="1"/>
    <col min="6" max="6" width="16" customWidth="1"/>
    <col min="7" max="7" width="67.28515625" bestFit="1" customWidth="1"/>
    <col min="8" max="8" width="18" customWidth="1"/>
    <col min="9" max="9" width="20.85546875" bestFit="1" customWidth="1"/>
    <col min="10" max="10" width="16.85546875" customWidth="1"/>
    <col min="11" max="11" width="16" customWidth="1"/>
    <col min="12" max="12" width="19.140625" customWidth="1"/>
    <col min="13" max="15" width="17.85546875" customWidth="1"/>
    <col min="16" max="16" width="16.42578125" customWidth="1"/>
    <col min="17" max="17" width="17.42578125" customWidth="1"/>
    <col min="18" max="20" width="16.42578125" customWidth="1"/>
    <col min="21" max="21" width="17.42578125" customWidth="1"/>
    <col min="22" max="22" width="17.85546875" customWidth="1"/>
    <col min="23" max="23" width="11.7109375" bestFit="1" customWidth="1"/>
    <col min="25" max="25" width="14.140625" customWidth="1"/>
    <col min="26" max="26" width="15" bestFit="1" customWidth="1"/>
  </cols>
  <sheetData>
    <row r="3" spans="6:30" x14ac:dyDescent="0.25">
      <c r="H3" s="28"/>
      <c r="I3" s="148" t="s">
        <v>43</v>
      </c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29"/>
      <c r="U3" s="29"/>
      <c r="V3" s="29"/>
      <c r="W3" s="29"/>
      <c r="X3" s="29"/>
      <c r="Y3" s="29"/>
      <c r="Z3" s="29"/>
    </row>
    <row r="4" spans="6:30" ht="15.75" x14ac:dyDescent="0.25">
      <c r="F4" s="30"/>
      <c r="G4" s="30"/>
      <c r="H4" s="28"/>
      <c r="I4" s="149" t="s">
        <v>44</v>
      </c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31"/>
      <c r="U4" s="31"/>
      <c r="V4" s="31"/>
      <c r="W4" s="31"/>
      <c r="X4" s="31"/>
      <c r="Y4" s="31"/>
      <c r="Z4" s="31"/>
      <c r="AA4" s="30"/>
      <c r="AB4" s="30"/>
      <c r="AC4" s="30"/>
      <c r="AD4" s="30"/>
    </row>
    <row r="5" spans="6:30" ht="15.75" x14ac:dyDescent="0.25">
      <c r="F5" s="30"/>
      <c r="G5" s="30"/>
      <c r="H5" s="28"/>
      <c r="I5" s="148" t="s">
        <v>45</v>
      </c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29"/>
      <c r="U5" s="29"/>
      <c r="V5" s="29"/>
      <c r="W5" s="29"/>
      <c r="X5" s="29"/>
      <c r="Y5" s="29"/>
      <c r="Z5" s="29"/>
      <c r="AA5" s="30"/>
      <c r="AB5" s="30"/>
      <c r="AC5" s="30"/>
      <c r="AD5" s="30"/>
    </row>
    <row r="6" spans="6:30" ht="15.75" x14ac:dyDescent="0.25">
      <c r="F6" s="32"/>
      <c r="G6" s="32"/>
      <c r="H6" s="28"/>
      <c r="I6" s="149" t="s">
        <v>221</v>
      </c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31"/>
      <c r="U6" s="31"/>
      <c r="V6" s="31"/>
      <c r="W6" s="31"/>
      <c r="X6" s="31"/>
      <c r="Y6" s="31"/>
      <c r="Z6" s="31"/>
      <c r="AA6" s="32"/>
      <c r="AB6" s="32"/>
      <c r="AC6" s="30"/>
      <c r="AD6" s="30"/>
    </row>
    <row r="7" spans="6:30" x14ac:dyDescent="0.25">
      <c r="L7" s="150" t="s">
        <v>0</v>
      </c>
      <c r="M7" s="150"/>
      <c r="N7" s="150"/>
      <c r="O7" s="150"/>
      <c r="P7" s="150"/>
    </row>
    <row r="8" spans="6:30" ht="15.75" x14ac:dyDescent="0.25"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</row>
    <row r="9" spans="6:30" ht="15.75" x14ac:dyDescent="0.25"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0"/>
      <c r="V9" s="30"/>
    </row>
    <row r="10" spans="6:30" ht="15.75" x14ac:dyDescent="0.25"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0"/>
      <c r="V10" s="30"/>
    </row>
    <row r="11" spans="6:30" ht="16.5" thickBot="1" x14ac:dyDescent="0.3"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0"/>
      <c r="V11" s="30"/>
    </row>
    <row r="12" spans="6:30" ht="16.5" thickBot="1" x14ac:dyDescent="0.3">
      <c r="F12" s="30"/>
      <c r="G12" s="30"/>
      <c r="H12" s="30"/>
      <c r="I12" s="30"/>
      <c r="J12" s="141" t="s">
        <v>46</v>
      </c>
      <c r="K12" s="142"/>
      <c r="L12" s="36"/>
      <c r="M12" s="30"/>
      <c r="N12" s="30"/>
      <c r="O12" s="30"/>
      <c r="P12" s="141" t="s">
        <v>47</v>
      </c>
      <c r="Q12" s="143"/>
      <c r="R12" s="142"/>
      <c r="S12" s="35"/>
      <c r="T12" s="35"/>
      <c r="U12" s="30"/>
      <c r="V12" s="30"/>
    </row>
    <row r="13" spans="6:30" ht="66" customHeight="1" thickBot="1" x14ac:dyDescent="0.3">
      <c r="F13" s="124" t="s">
        <v>48</v>
      </c>
      <c r="G13" s="125" t="s">
        <v>49</v>
      </c>
      <c r="H13" s="125" t="s">
        <v>50</v>
      </c>
      <c r="I13" s="126" t="s">
        <v>51</v>
      </c>
      <c r="J13" s="125" t="s">
        <v>52</v>
      </c>
      <c r="K13" s="125" t="s">
        <v>53</v>
      </c>
      <c r="L13" s="127" t="s">
        <v>54</v>
      </c>
      <c r="M13" s="128" t="s">
        <v>55</v>
      </c>
      <c r="N13" s="138" t="s">
        <v>3</v>
      </c>
      <c r="O13" s="138" t="s">
        <v>4</v>
      </c>
      <c r="P13" s="129">
        <v>0.2</v>
      </c>
      <c r="Q13" s="130">
        <v>0.3</v>
      </c>
      <c r="R13" s="131">
        <v>0.5</v>
      </c>
      <c r="S13" s="132" t="s">
        <v>217</v>
      </c>
      <c r="T13" s="133" t="s">
        <v>218</v>
      </c>
      <c r="U13" s="128" t="s">
        <v>56</v>
      </c>
      <c r="V13" s="134" t="s">
        <v>57</v>
      </c>
    </row>
    <row r="14" spans="6:30" ht="15.75" x14ac:dyDescent="0.25">
      <c r="F14" s="102"/>
      <c r="G14" s="103" t="s">
        <v>58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104"/>
    </row>
    <row r="15" spans="6:30" ht="15.75" x14ac:dyDescent="0.25">
      <c r="F15" s="38"/>
      <c r="G15" s="39" t="s">
        <v>59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1"/>
      <c r="Y15" s="12"/>
    </row>
    <row r="16" spans="6:30" ht="15.75" x14ac:dyDescent="0.25">
      <c r="F16" s="42" t="s">
        <v>60</v>
      </c>
      <c r="G16" s="43" t="s">
        <v>61</v>
      </c>
      <c r="H16" s="40">
        <v>679882.55</v>
      </c>
      <c r="I16" s="40"/>
      <c r="J16" s="40"/>
      <c r="K16" s="40"/>
      <c r="L16" s="40">
        <f>H16+I16+J16-K16</f>
        <v>679882.55</v>
      </c>
      <c r="M16" s="40">
        <v>64500</v>
      </c>
      <c r="N16" s="40">
        <v>64500</v>
      </c>
      <c r="O16" s="40">
        <v>64500</v>
      </c>
      <c r="P16" s="40">
        <f>54000+54000+54000</f>
        <v>162000</v>
      </c>
      <c r="Q16" s="40"/>
      <c r="R16" s="40">
        <f>10500+10500+10500</f>
        <v>31500</v>
      </c>
      <c r="S16" s="40"/>
      <c r="T16" s="40"/>
      <c r="U16" s="40">
        <f>SUM(M16:O16)</f>
        <v>193500</v>
      </c>
      <c r="V16" s="41">
        <f>+L16-U16</f>
        <v>486382.55000000005</v>
      </c>
      <c r="Y16" s="12"/>
    </row>
    <row r="17" spans="6:25" ht="15.75" x14ac:dyDescent="0.25">
      <c r="F17" s="42" t="s">
        <v>62</v>
      </c>
      <c r="G17" s="43" t="s">
        <v>63</v>
      </c>
      <c r="H17" s="40">
        <v>1700</v>
      </c>
      <c r="I17" s="40"/>
      <c r="J17" s="40"/>
      <c r="K17" s="40"/>
      <c r="L17" s="40">
        <f>H17+I17+J17-K17</f>
        <v>1700</v>
      </c>
      <c r="M17" s="40">
        <v>220</v>
      </c>
      <c r="N17" s="40">
        <v>220</v>
      </c>
      <c r="O17" s="40">
        <v>220</v>
      </c>
      <c r="P17" s="40">
        <f>220+220+220</f>
        <v>660</v>
      </c>
      <c r="Q17" s="40"/>
      <c r="R17" s="40"/>
      <c r="S17" s="40"/>
      <c r="T17" s="40"/>
      <c r="U17" s="40">
        <f t="shared" ref="U17:U64" si="0">SUM(M17:O17)</f>
        <v>660</v>
      </c>
      <c r="V17" s="41">
        <f>+L17-U17</f>
        <v>1040</v>
      </c>
      <c r="Y17" s="12"/>
    </row>
    <row r="18" spans="6:25" ht="15.75" x14ac:dyDescent="0.25">
      <c r="F18" s="42" t="s">
        <v>64</v>
      </c>
      <c r="G18" s="43" t="s">
        <v>65</v>
      </c>
      <c r="H18" s="40">
        <v>4500</v>
      </c>
      <c r="I18" s="40"/>
      <c r="J18" s="40"/>
      <c r="K18" s="40"/>
      <c r="L18" s="40">
        <f t="shared" ref="L18:L64" si="1">H18+I18+J18-K18</f>
        <v>4500</v>
      </c>
      <c r="M18" s="40">
        <v>375</v>
      </c>
      <c r="N18" s="40">
        <v>375</v>
      </c>
      <c r="O18" s="40">
        <v>375</v>
      </c>
      <c r="P18" s="40">
        <f>375+375+375</f>
        <v>1125</v>
      </c>
      <c r="Q18" s="40"/>
      <c r="R18" s="40"/>
      <c r="S18" s="40"/>
      <c r="T18" s="40"/>
      <c r="U18" s="40">
        <f t="shared" si="0"/>
        <v>1125</v>
      </c>
      <c r="V18" s="41">
        <f>+L18-U18</f>
        <v>3375</v>
      </c>
      <c r="Y18" s="12"/>
    </row>
    <row r="19" spans="6:25" ht="15.75" x14ac:dyDescent="0.25">
      <c r="F19" s="42" t="s">
        <v>66</v>
      </c>
      <c r="G19" s="44" t="s">
        <v>67</v>
      </c>
      <c r="H19" s="40">
        <v>14500</v>
      </c>
      <c r="I19" s="40"/>
      <c r="J19" s="40"/>
      <c r="K19" s="40"/>
      <c r="L19" s="40">
        <f t="shared" si="1"/>
        <v>14500</v>
      </c>
      <c r="M19" s="40">
        <v>2000</v>
      </c>
      <c r="N19" s="40">
        <v>2000</v>
      </c>
      <c r="O19" s="40">
        <v>2000</v>
      </c>
      <c r="P19" s="40">
        <f>1750+1750+1750</f>
        <v>5250</v>
      </c>
      <c r="Q19" s="40"/>
      <c r="R19" s="40">
        <f>250+250+250</f>
        <v>750</v>
      </c>
      <c r="S19" s="40"/>
      <c r="T19" s="40"/>
      <c r="U19" s="40">
        <f t="shared" si="0"/>
        <v>6000</v>
      </c>
      <c r="V19" s="41">
        <f>+L19-U19</f>
        <v>8500</v>
      </c>
      <c r="Y19" s="12"/>
    </row>
    <row r="20" spans="6:25" ht="15.75" x14ac:dyDescent="0.25">
      <c r="F20" s="42"/>
      <c r="G20" s="39" t="s">
        <v>68</v>
      </c>
      <c r="H20" s="40"/>
      <c r="I20" s="40"/>
      <c r="J20" s="40"/>
      <c r="K20" s="40"/>
      <c r="L20" s="40"/>
      <c r="M20" s="40"/>
      <c r="N20" s="40"/>
      <c r="O20" s="40"/>
      <c r="P20" s="50"/>
      <c r="Q20" s="50"/>
      <c r="R20" s="50"/>
      <c r="S20" s="50"/>
      <c r="T20" s="50"/>
      <c r="U20" s="40"/>
      <c r="V20" s="41"/>
      <c r="Y20" s="12"/>
    </row>
    <row r="21" spans="6:25" ht="15.75" x14ac:dyDescent="0.25">
      <c r="F21" s="42" t="s">
        <v>210</v>
      </c>
      <c r="G21" s="43" t="s">
        <v>211</v>
      </c>
      <c r="H21" s="40"/>
      <c r="I21" s="40"/>
      <c r="J21" s="40"/>
      <c r="K21" s="40"/>
      <c r="L21" s="40"/>
      <c r="M21" s="40">
        <v>0</v>
      </c>
      <c r="N21" s="40">
        <v>0</v>
      </c>
      <c r="O21" s="40"/>
      <c r="P21" s="50"/>
      <c r="Q21" s="50"/>
      <c r="R21" s="50"/>
      <c r="S21" s="50"/>
      <c r="T21" s="50"/>
      <c r="U21" s="40">
        <f t="shared" si="0"/>
        <v>0</v>
      </c>
      <c r="V21" s="41">
        <f t="shared" ref="V21:V30" si="2">+L21-U21</f>
        <v>0</v>
      </c>
      <c r="Y21" s="12"/>
    </row>
    <row r="22" spans="6:25" ht="15.75" x14ac:dyDescent="0.25">
      <c r="F22" s="42" t="s">
        <v>69</v>
      </c>
      <c r="G22" s="43" t="s">
        <v>70</v>
      </c>
      <c r="H22" s="40">
        <v>818462.96</v>
      </c>
      <c r="I22" s="40"/>
      <c r="J22" s="40"/>
      <c r="K22" s="40"/>
      <c r="L22" s="40">
        <f t="shared" si="1"/>
        <v>818462.96</v>
      </c>
      <c r="M22" s="40">
        <v>50300</v>
      </c>
      <c r="N22" s="40">
        <v>67800</v>
      </c>
      <c r="O22" s="40">
        <v>65050</v>
      </c>
      <c r="P22" s="50">
        <f>2800+2800+2800</f>
        <v>8400</v>
      </c>
      <c r="Q22" s="50">
        <f>2160.72+7963.04+5000.04</f>
        <v>15123.8</v>
      </c>
      <c r="R22" s="50">
        <f>45339.28+57036.96+57249.96</f>
        <v>159626.19999999998</v>
      </c>
      <c r="S22" s="50"/>
      <c r="T22" s="50"/>
      <c r="U22" s="40">
        <f t="shared" si="0"/>
        <v>183150</v>
      </c>
      <c r="V22" s="45">
        <f t="shared" si="2"/>
        <v>635312.96</v>
      </c>
      <c r="Y22" s="12"/>
    </row>
    <row r="23" spans="6:25" s="30" customFormat="1" ht="15.75" x14ac:dyDescent="0.25">
      <c r="F23" s="42" t="s">
        <v>71</v>
      </c>
      <c r="G23" s="43" t="s">
        <v>72</v>
      </c>
      <c r="H23" s="40">
        <v>75130.789999999994</v>
      </c>
      <c r="I23" s="40"/>
      <c r="J23" s="40"/>
      <c r="K23" s="43"/>
      <c r="L23" s="40">
        <f t="shared" si="1"/>
        <v>75130.789999999994</v>
      </c>
      <c r="M23" s="46">
        <v>6135.25</v>
      </c>
      <c r="N23" s="46">
        <v>7202.25</v>
      </c>
      <c r="O23" s="46">
        <v>7202.25</v>
      </c>
      <c r="P23" s="90">
        <f>5068.25+6081.9+6081.9</f>
        <v>17232.05</v>
      </c>
      <c r="Q23" s="90"/>
      <c r="R23" s="91">
        <f>1067+1120.35+1120.35</f>
        <v>3307.7</v>
      </c>
      <c r="S23" s="91"/>
      <c r="T23" s="92"/>
      <c r="U23" s="40">
        <f t="shared" si="0"/>
        <v>20539.75</v>
      </c>
      <c r="V23" s="45">
        <f t="shared" si="2"/>
        <v>54591.039999999994</v>
      </c>
      <c r="X23" s="48"/>
      <c r="Y23" s="12"/>
    </row>
    <row r="24" spans="6:25" s="30" customFormat="1" ht="15.75" x14ac:dyDescent="0.25">
      <c r="F24" s="42" t="s">
        <v>73</v>
      </c>
      <c r="G24" s="43" t="s">
        <v>74</v>
      </c>
      <c r="H24" s="40">
        <v>1000</v>
      </c>
      <c r="I24" s="40"/>
      <c r="J24" s="40"/>
      <c r="K24" s="43"/>
      <c r="L24" s="40">
        <f t="shared" si="1"/>
        <v>1000</v>
      </c>
      <c r="M24" s="40">
        <v>0</v>
      </c>
      <c r="N24" s="40">
        <v>0</v>
      </c>
      <c r="O24" s="40">
        <v>0</v>
      </c>
      <c r="P24" s="92"/>
      <c r="Q24" s="91"/>
      <c r="R24" s="92"/>
      <c r="S24" s="92"/>
      <c r="T24" s="92"/>
      <c r="U24" s="40">
        <f t="shared" si="0"/>
        <v>0</v>
      </c>
      <c r="V24" s="45">
        <f t="shared" si="2"/>
        <v>1000</v>
      </c>
      <c r="Y24" s="12"/>
    </row>
    <row r="25" spans="6:25" ht="15.75" x14ac:dyDescent="0.25">
      <c r="F25" s="42" t="s">
        <v>75</v>
      </c>
      <c r="G25" s="43" t="s">
        <v>76</v>
      </c>
      <c r="H25" s="40">
        <v>241140</v>
      </c>
      <c r="I25" s="40"/>
      <c r="J25" s="40"/>
      <c r="K25" s="40"/>
      <c r="L25" s="40">
        <f t="shared" si="1"/>
        <v>241140</v>
      </c>
      <c r="M25" s="40">
        <v>0</v>
      </c>
      <c r="N25" s="40">
        <v>23400</v>
      </c>
      <c r="O25" s="40">
        <v>16200</v>
      </c>
      <c r="P25" s="50"/>
      <c r="Q25" s="50"/>
      <c r="R25" s="50"/>
      <c r="S25" s="50"/>
      <c r="T25" s="50">
        <f>23400+O25</f>
        <v>39600</v>
      </c>
      <c r="U25" s="40">
        <f t="shared" si="0"/>
        <v>39600</v>
      </c>
      <c r="V25" s="41">
        <f t="shared" si="2"/>
        <v>201540</v>
      </c>
      <c r="Y25" s="12"/>
    </row>
    <row r="26" spans="6:25" ht="15.75" x14ac:dyDescent="0.25">
      <c r="F26" s="42" t="s">
        <v>77</v>
      </c>
      <c r="G26" s="43" t="s">
        <v>78</v>
      </c>
      <c r="H26" s="40">
        <v>147000</v>
      </c>
      <c r="I26" s="40"/>
      <c r="J26" s="40"/>
      <c r="K26" s="40"/>
      <c r="L26" s="40">
        <f t="shared" si="1"/>
        <v>147000</v>
      </c>
      <c r="M26" s="40">
        <v>0</v>
      </c>
      <c r="N26" s="40">
        <v>15000</v>
      </c>
      <c r="O26" s="40">
        <v>15000</v>
      </c>
      <c r="P26" s="50"/>
      <c r="Q26" s="50"/>
      <c r="R26" s="50"/>
      <c r="S26" s="50"/>
      <c r="T26" s="50">
        <f>15000+O26</f>
        <v>30000</v>
      </c>
      <c r="U26" s="40">
        <f t="shared" si="0"/>
        <v>30000</v>
      </c>
      <c r="V26" s="41">
        <f t="shared" si="2"/>
        <v>117000</v>
      </c>
      <c r="Y26" s="12"/>
    </row>
    <row r="27" spans="6:25" ht="15.75" x14ac:dyDescent="0.25">
      <c r="F27" s="42" t="s">
        <v>79</v>
      </c>
      <c r="G27" s="43" t="s">
        <v>80</v>
      </c>
      <c r="H27" s="40">
        <v>54000</v>
      </c>
      <c r="I27" s="40"/>
      <c r="J27" s="40"/>
      <c r="K27" s="40"/>
      <c r="L27" s="40">
        <f t="shared" si="1"/>
        <v>54000</v>
      </c>
      <c r="M27" s="40">
        <v>0</v>
      </c>
      <c r="N27" s="40">
        <v>0</v>
      </c>
      <c r="O27" s="40">
        <v>0</v>
      </c>
      <c r="P27" s="50"/>
      <c r="Q27" s="50"/>
      <c r="R27" s="50"/>
      <c r="S27" s="50"/>
      <c r="T27" s="50"/>
      <c r="U27" s="40">
        <f t="shared" si="0"/>
        <v>0</v>
      </c>
      <c r="V27" s="41">
        <f t="shared" si="2"/>
        <v>54000</v>
      </c>
      <c r="Y27" s="12"/>
    </row>
    <row r="28" spans="6:25" ht="15.75" x14ac:dyDescent="0.25">
      <c r="F28" s="42" t="s">
        <v>81</v>
      </c>
      <c r="G28" s="43" t="s">
        <v>82</v>
      </c>
      <c r="H28" s="40">
        <v>52000</v>
      </c>
      <c r="I28" s="40"/>
      <c r="J28" s="40"/>
      <c r="K28" s="40"/>
      <c r="L28" s="40">
        <f t="shared" si="1"/>
        <v>52000</v>
      </c>
      <c r="M28" s="40">
        <v>0</v>
      </c>
      <c r="N28" s="40">
        <v>0</v>
      </c>
      <c r="O28" s="40">
        <v>0</v>
      </c>
      <c r="P28" s="50"/>
      <c r="Q28" s="50"/>
      <c r="R28" s="50"/>
      <c r="S28" s="50"/>
      <c r="T28" s="50"/>
      <c r="U28" s="40">
        <f t="shared" si="0"/>
        <v>0</v>
      </c>
      <c r="V28" s="41">
        <f t="shared" si="2"/>
        <v>52000</v>
      </c>
      <c r="Y28" s="12"/>
    </row>
    <row r="29" spans="6:25" ht="15.75" x14ac:dyDescent="0.25">
      <c r="F29" s="42" t="s">
        <v>83</v>
      </c>
      <c r="G29" s="43" t="s">
        <v>84</v>
      </c>
      <c r="H29" s="40">
        <v>3500</v>
      </c>
      <c r="I29" s="40"/>
      <c r="J29" s="40"/>
      <c r="K29" s="40"/>
      <c r="L29" s="40">
        <f t="shared" si="1"/>
        <v>3500</v>
      </c>
      <c r="M29" s="40">
        <v>0</v>
      </c>
      <c r="N29" s="40">
        <v>0</v>
      </c>
      <c r="O29" s="40">
        <v>0</v>
      </c>
      <c r="P29" s="50"/>
      <c r="Q29" s="50"/>
      <c r="R29" s="50"/>
      <c r="S29" s="50"/>
      <c r="T29" s="50"/>
      <c r="U29" s="40">
        <f t="shared" si="0"/>
        <v>0</v>
      </c>
      <c r="V29" s="41">
        <f t="shared" si="2"/>
        <v>3500</v>
      </c>
      <c r="X29" s="12"/>
      <c r="Y29" s="12"/>
    </row>
    <row r="30" spans="6:25" ht="15.75" x14ac:dyDescent="0.25">
      <c r="F30" s="42" t="s">
        <v>85</v>
      </c>
      <c r="G30" s="43" t="s">
        <v>86</v>
      </c>
      <c r="H30" s="40">
        <v>2500</v>
      </c>
      <c r="I30" s="40"/>
      <c r="J30" s="40"/>
      <c r="K30" s="40"/>
      <c r="L30" s="40">
        <f t="shared" si="1"/>
        <v>2500</v>
      </c>
      <c r="M30" s="40">
        <v>0</v>
      </c>
      <c r="N30" s="40">
        <v>0</v>
      </c>
      <c r="O30" s="40">
        <v>0</v>
      </c>
      <c r="P30" s="50"/>
      <c r="Q30" s="50"/>
      <c r="R30" s="50"/>
      <c r="S30" s="50"/>
      <c r="T30" s="50"/>
      <c r="U30" s="40">
        <f t="shared" si="0"/>
        <v>0</v>
      </c>
      <c r="V30" s="41">
        <f t="shared" si="2"/>
        <v>2500</v>
      </c>
      <c r="Y30" s="12"/>
    </row>
    <row r="31" spans="6:25" ht="15.75" x14ac:dyDescent="0.25">
      <c r="F31" s="42"/>
      <c r="G31" s="39" t="s">
        <v>87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1"/>
      <c r="Y31" s="12"/>
    </row>
    <row r="32" spans="6:25" ht="15.75" x14ac:dyDescent="0.25">
      <c r="F32" s="42"/>
      <c r="G32" s="39" t="s">
        <v>88</v>
      </c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1"/>
      <c r="Y32" s="12"/>
    </row>
    <row r="33" spans="6:25" ht="15.75" x14ac:dyDescent="0.25">
      <c r="F33" s="42">
        <v>111</v>
      </c>
      <c r="G33" s="43" t="s">
        <v>89</v>
      </c>
      <c r="H33" s="40">
        <v>1600</v>
      </c>
      <c r="I33" s="40"/>
      <c r="J33" s="40"/>
      <c r="K33" s="40"/>
      <c r="L33" s="40">
        <f>H33+I33+J33-K33</f>
        <v>1600</v>
      </c>
      <c r="M33" s="40">
        <v>0</v>
      </c>
      <c r="N33" s="40">
        <v>0</v>
      </c>
      <c r="O33" s="40">
        <v>0</v>
      </c>
      <c r="P33" s="40"/>
      <c r="Q33" s="40"/>
      <c r="R33" s="40"/>
      <c r="S33" s="40"/>
      <c r="T33" s="40"/>
      <c r="U33" s="40">
        <f t="shared" si="0"/>
        <v>0</v>
      </c>
      <c r="V33" s="41">
        <f>+L33-U33</f>
        <v>1600</v>
      </c>
      <c r="Y33" s="12"/>
    </row>
    <row r="34" spans="6:25" ht="15.75" x14ac:dyDescent="0.25">
      <c r="F34" s="42" t="s">
        <v>90</v>
      </c>
      <c r="G34" s="43" t="s">
        <v>91</v>
      </c>
      <c r="H34" s="40">
        <v>54048.54</v>
      </c>
      <c r="I34" s="40"/>
      <c r="J34" s="40"/>
      <c r="K34" s="40"/>
      <c r="L34" s="40">
        <f t="shared" si="1"/>
        <v>54048.54</v>
      </c>
      <c r="M34" s="40">
        <v>2192.85</v>
      </c>
      <c r="N34" s="40">
        <v>6337</v>
      </c>
      <c r="O34" s="40">
        <v>4073</v>
      </c>
      <c r="P34" s="40">
        <f>2033.85+4603+3914</f>
        <v>10550.85</v>
      </c>
      <c r="Q34" s="40"/>
      <c r="R34" s="40">
        <f>159+1575+159+159</f>
        <v>2052</v>
      </c>
      <c r="S34" s="40"/>
      <c r="U34" s="40">
        <f t="shared" si="0"/>
        <v>12602.85</v>
      </c>
      <c r="V34" s="41">
        <f>+L34-U34</f>
        <v>41445.69</v>
      </c>
      <c r="Y34" s="12"/>
    </row>
    <row r="35" spans="6:25" ht="15.75" x14ac:dyDescent="0.25">
      <c r="F35" s="42">
        <v>114</v>
      </c>
      <c r="G35" s="43" t="s">
        <v>92</v>
      </c>
      <c r="H35" s="40">
        <v>1000</v>
      </c>
      <c r="I35" s="40"/>
      <c r="J35" s="40"/>
      <c r="K35" s="40"/>
      <c r="L35" s="40">
        <f t="shared" si="1"/>
        <v>1000</v>
      </c>
      <c r="M35" s="40">
        <v>0</v>
      </c>
      <c r="N35" s="40">
        <v>0</v>
      </c>
      <c r="O35" s="40">
        <v>0</v>
      </c>
      <c r="P35" s="40"/>
      <c r="Q35" s="40"/>
      <c r="R35" s="40"/>
      <c r="S35" s="40"/>
      <c r="T35" s="40"/>
      <c r="U35" s="40">
        <f t="shared" si="0"/>
        <v>0</v>
      </c>
      <c r="V35" s="41">
        <f>+L35-U35</f>
        <v>1000</v>
      </c>
      <c r="Y35" s="12"/>
    </row>
    <row r="36" spans="6:25" ht="15.75" x14ac:dyDescent="0.25">
      <c r="F36" s="42">
        <v>116</v>
      </c>
      <c r="G36" s="43" t="s">
        <v>93</v>
      </c>
      <c r="H36" s="40">
        <v>1600</v>
      </c>
      <c r="I36" s="40"/>
      <c r="J36" s="40"/>
      <c r="K36" s="40"/>
      <c r="L36" s="40">
        <f t="shared" si="1"/>
        <v>1600</v>
      </c>
      <c r="M36" s="40">
        <v>0</v>
      </c>
      <c r="N36" s="40">
        <v>0</v>
      </c>
      <c r="O36" s="40">
        <v>0</v>
      </c>
      <c r="P36" s="40"/>
      <c r="Q36" s="40"/>
      <c r="R36" s="40"/>
      <c r="S36" s="40"/>
      <c r="T36" s="40"/>
      <c r="U36" s="40">
        <f t="shared" si="0"/>
        <v>0</v>
      </c>
      <c r="V36" s="41">
        <f>+L36-U36</f>
        <v>1600</v>
      </c>
      <c r="Y36" s="12"/>
    </row>
    <row r="37" spans="6:25" ht="15.75" x14ac:dyDescent="0.25">
      <c r="F37" s="42"/>
      <c r="G37" s="39" t="s">
        <v>94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1"/>
      <c r="Y37" s="12"/>
    </row>
    <row r="38" spans="6:25" ht="15.75" x14ac:dyDescent="0.25">
      <c r="F38" s="42"/>
      <c r="G38" s="39" t="s">
        <v>95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1"/>
      <c r="Y38" s="12"/>
    </row>
    <row r="39" spans="6:25" ht="15.75" x14ac:dyDescent="0.25">
      <c r="F39" s="42">
        <v>121</v>
      </c>
      <c r="G39" s="43" t="s">
        <v>96</v>
      </c>
      <c r="H39" s="40">
        <v>30000</v>
      </c>
      <c r="I39" s="40"/>
      <c r="J39" s="40"/>
      <c r="K39" s="40"/>
      <c r="L39" s="40">
        <f t="shared" si="1"/>
        <v>30000</v>
      </c>
      <c r="M39" s="40">
        <v>0</v>
      </c>
      <c r="N39" s="40">
        <v>0</v>
      </c>
      <c r="O39" s="40">
        <v>0</v>
      </c>
      <c r="P39" s="40"/>
      <c r="Q39" s="40"/>
      <c r="R39" s="40"/>
      <c r="S39" s="40"/>
      <c r="T39" s="40"/>
      <c r="U39" s="40">
        <f t="shared" si="0"/>
        <v>0</v>
      </c>
      <c r="V39" s="41">
        <f>+L39-U39</f>
        <v>30000</v>
      </c>
      <c r="Y39" s="12"/>
    </row>
    <row r="40" spans="6:25" ht="15.75" x14ac:dyDescent="0.25">
      <c r="F40" s="42">
        <v>122</v>
      </c>
      <c r="G40" s="49" t="s">
        <v>97</v>
      </c>
      <c r="H40" s="40">
        <v>3000</v>
      </c>
      <c r="I40" s="40"/>
      <c r="J40" s="40"/>
      <c r="K40" s="40"/>
      <c r="L40" s="40">
        <f t="shared" si="1"/>
        <v>3000</v>
      </c>
      <c r="M40" s="40">
        <v>0</v>
      </c>
      <c r="N40" s="40">
        <v>2060.1999999999998</v>
      </c>
      <c r="O40" s="40">
        <v>0</v>
      </c>
      <c r="P40" s="40">
        <f>2060.2</f>
        <v>2060.1999999999998</v>
      </c>
      <c r="Q40" s="40"/>
      <c r="R40" s="40"/>
      <c r="S40" s="40"/>
      <c r="T40" s="40"/>
      <c r="U40" s="40">
        <f t="shared" si="0"/>
        <v>2060.1999999999998</v>
      </c>
      <c r="V40" s="41">
        <f>+L40-U40</f>
        <v>939.80000000000018</v>
      </c>
      <c r="Y40" s="12"/>
    </row>
    <row r="41" spans="6:25" ht="15.75" x14ac:dyDescent="0.25">
      <c r="F41" s="42"/>
      <c r="G41" s="39" t="s">
        <v>98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1"/>
      <c r="Y41" s="12"/>
    </row>
    <row r="42" spans="6:25" ht="15.75" x14ac:dyDescent="0.25">
      <c r="F42" s="42" t="s">
        <v>99</v>
      </c>
      <c r="G42" s="43" t="s">
        <v>100</v>
      </c>
      <c r="H42" s="40">
        <f>1785825.41+323599.7</f>
        <v>2109425.11</v>
      </c>
      <c r="I42" s="40"/>
      <c r="J42" s="40"/>
      <c r="K42" s="40"/>
      <c r="L42" s="40">
        <f t="shared" si="1"/>
        <v>2109425.11</v>
      </c>
      <c r="M42" s="40">
        <v>10990</v>
      </c>
      <c r="N42" s="40">
        <v>28155</v>
      </c>
      <c r="O42" s="40">
        <v>87425</v>
      </c>
      <c r="P42" s="50"/>
      <c r="Q42" s="51">
        <f>10990+28155+41600</f>
        <v>80745</v>
      </c>
      <c r="R42" s="40">
        <f>45825</f>
        <v>45825</v>
      </c>
      <c r="S42" s="40"/>
      <c r="T42" s="40"/>
      <c r="U42" s="40">
        <f t="shared" si="0"/>
        <v>126570</v>
      </c>
      <c r="V42" s="41">
        <f>+L42-U42</f>
        <v>1982855.1099999999</v>
      </c>
      <c r="X42" s="12"/>
      <c r="Y42" s="12"/>
    </row>
    <row r="43" spans="6:25" ht="15.75" x14ac:dyDescent="0.25">
      <c r="F43" s="42" t="s">
        <v>101</v>
      </c>
      <c r="G43" s="43" t="s">
        <v>102</v>
      </c>
      <c r="H43" s="40">
        <v>5000</v>
      </c>
      <c r="I43" s="40"/>
      <c r="J43" s="40"/>
      <c r="K43" s="40"/>
      <c r="L43" s="40">
        <f t="shared" si="1"/>
        <v>5000</v>
      </c>
      <c r="M43" s="40">
        <v>0</v>
      </c>
      <c r="N43" s="40">
        <v>0</v>
      </c>
      <c r="O43" s="40">
        <v>0</v>
      </c>
      <c r="P43" s="40"/>
      <c r="Q43" s="40"/>
      <c r="R43" s="40"/>
      <c r="S43" s="40"/>
      <c r="T43" s="40"/>
      <c r="U43" s="40">
        <f t="shared" si="0"/>
        <v>0</v>
      </c>
      <c r="V43" s="41">
        <f>+L43-U43</f>
        <v>5000</v>
      </c>
      <c r="X43" s="12"/>
      <c r="Y43" s="12"/>
    </row>
    <row r="44" spans="6:25" ht="15.75" x14ac:dyDescent="0.25">
      <c r="F44" s="42">
        <v>134</v>
      </c>
      <c r="G44" s="43" t="s">
        <v>103</v>
      </c>
      <c r="H44" s="40">
        <v>8000</v>
      </c>
      <c r="I44" s="40"/>
      <c r="J44" s="40"/>
      <c r="K44" s="40"/>
      <c r="L44" s="40">
        <f t="shared" si="1"/>
        <v>8000</v>
      </c>
      <c r="M44" s="40">
        <v>0</v>
      </c>
      <c r="N44" s="40">
        <v>0</v>
      </c>
      <c r="O44" s="40">
        <v>0</v>
      </c>
      <c r="P44" s="40"/>
      <c r="Q44" s="40"/>
      <c r="R44" s="40"/>
      <c r="S44" s="40"/>
      <c r="T44" s="40"/>
      <c r="U44" s="40">
        <f t="shared" si="0"/>
        <v>0</v>
      </c>
      <c r="V44" s="41">
        <f>+L44-U44</f>
        <v>8000</v>
      </c>
      <c r="X44" s="12"/>
      <c r="Y44" s="12"/>
    </row>
    <row r="45" spans="6:25" ht="15.75" x14ac:dyDescent="0.25">
      <c r="F45" s="42">
        <v>135</v>
      </c>
      <c r="G45" s="43" t="s">
        <v>104</v>
      </c>
      <c r="H45" s="40">
        <v>5000</v>
      </c>
      <c r="I45" s="40"/>
      <c r="J45" s="40"/>
      <c r="K45" s="40"/>
      <c r="L45" s="40">
        <f t="shared" si="1"/>
        <v>5000</v>
      </c>
      <c r="M45" s="40">
        <v>0</v>
      </c>
      <c r="N45" s="40">
        <v>0</v>
      </c>
      <c r="O45" s="40">
        <v>0</v>
      </c>
      <c r="P45" s="40"/>
      <c r="Q45" s="40"/>
      <c r="R45" s="40"/>
      <c r="S45" s="40"/>
      <c r="T45" s="40"/>
      <c r="U45" s="40">
        <f t="shared" si="0"/>
        <v>0</v>
      </c>
      <c r="V45" s="41">
        <f>+L45-U45</f>
        <v>5000</v>
      </c>
      <c r="Y45" s="12"/>
    </row>
    <row r="46" spans="6:25" ht="15.75" x14ac:dyDescent="0.25">
      <c r="F46" s="52"/>
      <c r="G46" s="39" t="s">
        <v>105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1"/>
      <c r="Y46" s="12"/>
    </row>
    <row r="47" spans="6:25" ht="15.75" x14ac:dyDescent="0.25">
      <c r="F47" s="42" t="s">
        <v>106</v>
      </c>
      <c r="G47" s="43" t="s">
        <v>107</v>
      </c>
      <c r="H47" s="40">
        <f>1150327.95+320000</f>
        <v>1470327.95</v>
      </c>
      <c r="I47" s="40"/>
      <c r="J47" s="40"/>
      <c r="K47" s="40"/>
      <c r="L47" s="40">
        <f t="shared" si="1"/>
        <v>1470327.95</v>
      </c>
      <c r="M47" s="40">
        <v>14833.53</v>
      </c>
      <c r="N47" s="40">
        <v>7885.21</v>
      </c>
      <c r="O47" s="40">
        <v>0</v>
      </c>
      <c r="P47" s="40"/>
      <c r="Q47" s="40">
        <f>14833.53+7885.21</f>
        <v>22718.74</v>
      </c>
      <c r="R47" s="40"/>
      <c r="S47" s="40"/>
      <c r="T47" s="40"/>
      <c r="U47" s="40">
        <f t="shared" si="0"/>
        <v>22718.74</v>
      </c>
      <c r="V47" s="41">
        <f>+L47-U47</f>
        <v>1447609.21</v>
      </c>
      <c r="Y47" s="12"/>
    </row>
    <row r="48" spans="6:25" ht="15.75" x14ac:dyDescent="0.25">
      <c r="F48" s="42" t="s">
        <v>108</v>
      </c>
      <c r="G48" s="43" t="s">
        <v>109</v>
      </c>
      <c r="H48" s="40">
        <v>30448.54</v>
      </c>
      <c r="I48" s="40"/>
      <c r="J48" s="40"/>
      <c r="K48" s="40"/>
      <c r="L48" s="40">
        <f t="shared" si="1"/>
        <v>30448.54</v>
      </c>
      <c r="M48" s="40">
        <v>0</v>
      </c>
      <c r="N48" s="40">
        <v>264.2</v>
      </c>
      <c r="O48" s="40">
        <v>0</v>
      </c>
      <c r="P48" s="40">
        <f>95.2</f>
        <v>95.2</v>
      </c>
      <c r="Q48" s="40">
        <v>169</v>
      </c>
      <c r="R48" s="40"/>
      <c r="S48" s="40"/>
      <c r="T48" s="40"/>
      <c r="U48" s="40">
        <f t="shared" si="0"/>
        <v>264.2</v>
      </c>
      <c r="V48" s="41">
        <f>+L48-U48</f>
        <v>30184.34</v>
      </c>
      <c r="Y48" s="12"/>
    </row>
    <row r="49" spans="6:25" ht="15.75" x14ac:dyDescent="0.25">
      <c r="F49" s="42">
        <v>143</v>
      </c>
      <c r="G49" s="43" t="s">
        <v>110</v>
      </c>
      <c r="H49" s="40"/>
      <c r="I49" s="40"/>
      <c r="J49" s="40"/>
      <c r="K49" s="40"/>
      <c r="L49" s="40">
        <f t="shared" si="1"/>
        <v>0</v>
      </c>
      <c r="M49" s="40">
        <v>0</v>
      </c>
      <c r="N49" s="40">
        <v>0</v>
      </c>
      <c r="O49" s="40">
        <v>0</v>
      </c>
      <c r="P49" s="40"/>
      <c r="Q49" s="40"/>
      <c r="R49" s="40"/>
      <c r="S49" s="40"/>
      <c r="T49" s="40"/>
      <c r="U49" s="40">
        <f t="shared" si="0"/>
        <v>0</v>
      </c>
      <c r="V49" s="41">
        <f>+L49-U49</f>
        <v>0</v>
      </c>
      <c r="Y49" s="12"/>
    </row>
    <row r="50" spans="6:25" ht="15.75" x14ac:dyDescent="0.25">
      <c r="F50" s="42"/>
      <c r="G50" s="39" t="s">
        <v>111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1"/>
      <c r="X50" s="12"/>
      <c r="Y50" s="12"/>
    </row>
    <row r="51" spans="6:25" ht="15.75" x14ac:dyDescent="0.25">
      <c r="F51" s="42" t="s">
        <v>112</v>
      </c>
      <c r="G51" s="43" t="s">
        <v>113</v>
      </c>
      <c r="H51" s="40">
        <v>95000</v>
      </c>
      <c r="I51" s="40"/>
      <c r="J51" s="40"/>
      <c r="K51" s="40"/>
      <c r="L51" s="40">
        <f t="shared" si="1"/>
        <v>95000</v>
      </c>
      <c r="M51" s="40">
        <v>0</v>
      </c>
      <c r="N51" s="40">
        <v>0</v>
      </c>
      <c r="O51" s="40">
        <v>0</v>
      </c>
      <c r="P51" s="40"/>
      <c r="Q51" s="50"/>
      <c r="R51" s="40"/>
      <c r="S51" s="40"/>
      <c r="T51" s="40"/>
      <c r="U51" s="40">
        <f t="shared" si="0"/>
        <v>0</v>
      </c>
      <c r="V51" s="41">
        <f>+L51-U51</f>
        <v>95000</v>
      </c>
      <c r="Y51" s="12"/>
    </row>
    <row r="52" spans="6:25" ht="15.75" x14ac:dyDescent="0.25">
      <c r="F52" s="42" t="s">
        <v>114</v>
      </c>
      <c r="G52" s="43" t="s">
        <v>115</v>
      </c>
      <c r="H52" s="40">
        <f>38397.98+20000</f>
        <v>58397.98</v>
      </c>
      <c r="I52" s="40"/>
      <c r="J52" s="40"/>
      <c r="K52" s="40"/>
      <c r="L52" s="40">
        <f t="shared" si="1"/>
        <v>58397.98</v>
      </c>
      <c r="M52" s="40">
        <v>0</v>
      </c>
      <c r="N52" s="40">
        <v>0</v>
      </c>
      <c r="O52" s="40">
        <v>0</v>
      </c>
      <c r="P52" s="40"/>
      <c r="Q52" s="40"/>
      <c r="R52" s="40"/>
      <c r="S52" s="40"/>
      <c r="T52" s="40"/>
      <c r="U52" s="40">
        <f t="shared" si="0"/>
        <v>0</v>
      </c>
      <c r="V52" s="41">
        <f>+L52-U52</f>
        <v>58397.98</v>
      </c>
      <c r="Y52" s="12"/>
    </row>
    <row r="53" spans="6:25" ht="15.75" x14ac:dyDescent="0.25">
      <c r="F53" s="42">
        <v>158</v>
      </c>
      <c r="G53" s="43" t="s">
        <v>116</v>
      </c>
      <c r="H53" s="40"/>
      <c r="I53" s="40"/>
      <c r="J53" s="40"/>
      <c r="K53" s="40"/>
      <c r="L53" s="40">
        <f t="shared" si="1"/>
        <v>0</v>
      </c>
      <c r="M53" s="40">
        <v>0</v>
      </c>
      <c r="N53" s="40">
        <v>0</v>
      </c>
      <c r="O53" s="40">
        <v>0</v>
      </c>
      <c r="P53" s="40"/>
      <c r="Q53" s="40"/>
      <c r="R53" s="40"/>
      <c r="S53" s="40"/>
      <c r="T53" s="40"/>
      <c r="U53" s="40">
        <f t="shared" si="0"/>
        <v>0</v>
      </c>
      <c r="V53" s="41">
        <f>+L53-U53</f>
        <v>0</v>
      </c>
      <c r="Y53" s="12"/>
    </row>
    <row r="54" spans="6:25" ht="15.75" x14ac:dyDescent="0.25">
      <c r="F54" s="42"/>
      <c r="G54" s="39" t="s">
        <v>117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1"/>
      <c r="Y54" s="12"/>
    </row>
    <row r="55" spans="6:25" ht="15.75" x14ac:dyDescent="0.25">
      <c r="F55" s="42"/>
      <c r="G55" s="39" t="s">
        <v>118</v>
      </c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1"/>
      <c r="Y55" s="12"/>
    </row>
    <row r="56" spans="6:25" ht="15.75" x14ac:dyDescent="0.25">
      <c r="F56" s="42" t="s">
        <v>119</v>
      </c>
      <c r="G56" s="43" t="s">
        <v>120</v>
      </c>
      <c r="H56" s="40">
        <v>5000</v>
      </c>
      <c r="I56" s="40"/>
      <c r="J56" s="40"/>
      <c r="K56" s="40"/>
      <c r="L56" s="40">
        <f t="shared" si="1"/>
        <v>5000</v>
      </c>
      <c r="M56" s="40">
        <v>0</v>
      </c>
      <c r="N56" s="40">
        <v>873.6</v>
      </c>
      <c r="O56" s="40">
        <v>0</v>
      </c>
      <c r="P56" s="40"/>
      <c r="Q56" s="40"/>
      <c r="R56" s="40">
        <f>N56</f>
        <v>873.6</v>
      </c>
      <c r="S56" s="40"/>
      <c r="T56" s="40"/>
      <c r="U56" s="40">
        <f t="shared" si="0"/>
        <v>873.6</v>
      </c>
      <c r="V56" s="41">
        <f t="shared" ref="V56:V64" si="3">+L56-U56</f>
        <v>4126.3999999999996</v>
      </c>
      <c r="Y56" s="12"/>
    </row>
    <row r="57" spans="6:25" ht="15.75" x14ac:dyDescent="0.25">
      <c r="F57" s="42">
        <v>164</v>
      </c>
      <c r="G57" s="43" t="s">
        <v>121</v>
      </c>
      <c r="H57" s="40"/>
      <c r="I57" s="40"/>
      <c r="J57" s="40"/>
      <c r="K57" s="40"/>
      <c r="L57" s="40">
        <f t="shared" si="1"/>
        <v>0</v>
      </c>
      <c r="M57" s="40">
        <v>0</v>
      </c>
      <c r="N57" s="40">
        <v>0</v>
      </c>
      <c r="O57" s="40">
        <v>0</v>
      </c>
      <c r="P57" s="40"/>
      <c r="Q57" s="40"/>
      <c r="R57" s="40"/>
      <c r="S57" s="40"/>
      <c r="T57" s="40"/>
      <c r="U57" s="40">
        <f t="shared" si="0"/>
        <v>0</v>
      </c>
      <c r="V57" s="41">
        <f t="shared" si="3"/>
        <v>0</v>
      </c>
      <c r="Y57" s="12"/>
    </row>
    <row r="58" spans="6:25" ht="15.75" x14ac:dyDescent="0.25">
      <c r="F58" s="42">
        <v>165</v>
      </c>
      <c r="G58" s="43" t="s">
        <v>122</v>
      </c>
      <c r="H58" s="40">
        <v>5000</v>
      </c>
      <c r="I58" s="40"/>
      <c r="J58" s="40"/>
      <c r="K58" s="40"/>
      <c r="L58" s="40">
        <f t="shared" si="1"/>
        <v>5000</v>
      </c>
      <c r="M58" s="40">
        <v>0</v>
      </c>
      <c r="N58" s="40">
        <v>0</v>
      </c>
      <c r="O58" s="40">
        <v>0</v>
      </c>
      <c r="P58" s="40"/>
      <c r="Q58" s="40"/>
      <c r="R58" s="40"/>
      <c r="S58" s="40"/>
      <c r="T58" s="40"/>
      <c r="U58" s="40">
        <f t="shared" si="0"/>
        <v>0</v>
      </c>
      <c r="V58" s="41">
        <f t="shared" si="3"/>
        <v>5000</v>
      </c>
      <c r="Y58" s="12"/>
    </row>
    <row r="59" spans="6:25" ht="15.75" x14ac:dyDescent="0.25">
      <c r="F59" s="42">
        <v>166</v>
      </c>
      <c r="G59" s="43" t="s">
        <v>123</v>
      </c>
      <c r="H59" s="40"/>
      <c r="I59" s="40"/>
      <c r="J59" s="40">
        <v>15000</v>
      </c>
      <c r="K59" s="40"/>
      <c r="L59" s="40">
        <f t="shared" si="1"/>
        <v>15000</v>
      </c>
      <c r="M59" s="40">
        <v>0</v>
      </c>
      <c r="N59" s="40">
        <v>0</v>
      </c>
      <c r="O59" s="40">
        <v>1350</v>
      </c>
      <c r="P59" s="40"/>
      <c r="Q59" s="40"/>
      <c r="R59" s="40">
        <v>1350</v>
      </c>
      <c r="S59" s="40"/>
      <c r="T59" s="40"/>
      <c r="U59" s="40">
        <f t="shared" si="0"/>
        <v>1350</v>
      </c>
      <c r="V59" s="41">
        <f t="shared" si="3"/>
        <v>13650</v>
      </c>
      <c r="Y59" s="12"/>
    </row>
    <row r="60" spans="6:25" ht="15.75" x14ac:dyDescent="0.25">
      <c r="F60" s="42" t="s">
        <v>124</v>
      </c>
      <c r="G60" s="43" t="s">
        <v>125</v>
      </c>
      <c r="H60" s="40">
        <v>5000</v>
      </c>
      <c r="I60" s="40"/>
      <c r="J60" s="40"/>
      <c r="K60" s="40"/>
      <c r="L60" s="40">
        <f t="shared" si="1"/>
        <v>5000</v>
      </c>
      <c r="M60" s="40">
        <v>0</v>
      </c>
      <c r="N60" s="40">
        <v>0</v>
      </c>
      <c r="O60" s="40">
        <v>0</v>
      </c>
      <c r="P60" s="40"/>
      <c r="Q60" s="40"/>
      <c r="R60" s="40"/>
      <c r="S60" s="40"/>
      <c r="T60" s="40"/>
      <c r="U60" s="40">
        <f t="shared" si="0"/>
        <v>0</v>
      </c>
      <c r="V60" s="41">
        <f t="shared" si="3"/>
        <v>5000</v>
      </c>
      <c r="Y60" s="12"/>
    </row>
    <row r="61" spans="6:25" ht="15.75" x14ac:dyDescent="0.25">
      <c r="F61" s="42">
        <v>169</v>
      </c>
      <c r="G61" s="43" t="s">
        <v>126</v>
      </c>
      <c r="H61" s="40"/>
      <c r="I61" s="40"/>
      <c r="J61" s="40">
        <v>15000</v>
      </c>
      <c r="K61" s="40"/>
      <c r="L61" s="40">
        <f t="shared" si="1"/>
        <v>15000</v>
      </c>
      <c r="M61" s="40">
        <v>0</v>
      </c>
      <c r="N61" s="40">
        <v>0</v>
      </c>
      <c r="O61" s="40">
        <v>3870</v>
      </c>
      <c r="P61" s="40"/>
      <c r="Q61" s="40"/>
      <c r="R61" s="40">
        <v>3870</v>
      </c>
      <c r="S61" s="40"/>
      <c r="T61" s="40"/>
      <c r="U61" s="40">
        <f t="shared" si="0"/>
        <v>3870</v>
      </c>
      <c r="V61" s="41">
        <f t="shared" si="3"/>
        <v>11130</v>
      </c>
      <c r="Y61" s="12"/>
    </row>
    <row r="62" spans="6:25" ht="15.75" x14ac:dyDescent="0.25">
      <c r="F62" s="42">
        <v>171</v>
      </c>
      <c r="G62" s="43" t="s">
        <v>127</v>
      </c>
      <c r="H62" s="40">
        <v>35000</v>
      </c>
      <c r="I62" s="40"/>
      <c r="J62" s="40">
        <v>100000</v>
      </c>
      <c r="K62" s="40"/>
      <c r="L62" s="40">
        <f t="shared" si="1"/>
        <v>135000</v>
      </c>
      <c r="M62" s="40">
        <v>0</v>
      </c>
      <c r="N62" s="40">
        <v>0</v>
      </c>
      <c r="O62" s="40">
        <v>89000</v>
      </c>
      <c r="P62" s="40"/>
      <c r="R62" s="40">
        <v>89000</v>
      </c>
      <c r="S62" s="12"/>
      <c r="T62" s="40"/>
      <c r="U62" s="40">
        <f t="shared" si="0"/>
        <v>89000</v>
      </c>
      <c r="V62" s="41">
        <f t="shared" si="3"/>
        <v>46000</v>
      </c>
      <c r="Y62" s="12"/>
    </row>
    <row r="63" spans="6:25" ht="15.75" x14ac:dyDescent="0.25">
      <c r="F63" s="42">
        <v>174</v>
      </c>
      <c r="G63" s="43" t="s">
        <v>128</v>
      </c>
      <c r="H63" s="40">
        <v>5000</v>
      </c>
      <c r="I63" s="40"/>
      <c r="J63" s="40"/>
      <c r="K63" s="40"/>
      <c r="L63" s="40">
        <f t="shared" si="1"/>
        <v>5000</v>
      </c>
      <c r="M63" s="40">
        <v>0</v>
      </c>
      <c r="N63" s="40">
        <v>0</v>
      </c>
      <c r="O63" s="40">
        <v>0</v>
      </c>
      <c r="P63" s="40"/>
      <c r="Q63" s="40"/>
      <c r="R63" s="40"/>
      <c r="S63" s="40"/>
      <c r="T63" s="40"/>
      <c r="U63" s="40">
        <f t="shared" si="0"/>
        <v>0</v>
      </c>
      <c r="V63" s="41">
        <f t="shared" si="3"/>
        <v>5000</v>
      </c>
      <c r="Y63" s="12"/>
    </row>
    <row r="64" spans="6:25" ht="15.75" x14ac:dyDescent="0.25">
      <c r="F64" s="53">
        <v>176</v>
      </c>
      <c r="G64" s="54" t="s">
        <v>129</v>
      </c>
      <c r="H64" s="55"/>
      <c r="I64" s="55"/>
      <c r="J64" s="55"/>
      <c r="K64" s="55"/>
      <c r="L64" s="40">
        <f t="shared" si="1"/>
        <v>0</v>
      </c>
      <c r="M64" s="55">
        <v>0</v>
      </c>
      <c r="N64" s="55">
        <v>0</v>
      </c>
      <c r="O64" s="55">
        <v>0</v>
      </c>
      <c r="P64" s="55"/>
      <c r="Q64" s="55"/>
      <c r="R64" s="55"/>
      <c r="S64" s="55"/>
      <c r="T64" s="55"/>
      <c r="U64" s="40">
        <f t="shared" si="0"/>
        <v>0</v>
      </c>
      <c r="V64" s="41">
        <f t="shared" si="3"/>
        <v>0</v>
      </c>
      <c r="Y64" s="12"/>
    </row>
    <row r="65" spans="6:26" ht="16.5" thickBot="1" x14ac:dyDescent="0.3">
      <c r="F65" s="56"/>
      <c r="G65" s="57" t="s">
        <v>130</v>
      </c>
      <c r="H65" s="58">
        <f>SUM(H14:H63)</f>
        <v>6023164.4199999999</v>
      </c>
      <c r="I65" s="58">
        <f>SUM(I14:I63)</f>
        <v>0</v>
      </c>
      <c r="J65" s="58">
        <f>SUM(J14:J64)</f>
        <v>130000</v>
      </c>
      <c r="K65" s="58">
        <f>SUM(K20:K63)</f>
        <v>0</v>
      </c>
      <c r="L65" s="58">
        <f>SUM(L16:L64)</f>
        <v>6153164.4199999999</v>
      </c>
      <c r="M65" s="58">
        <f>SUM(M14:M64)</f>
        <v>151546.63</v>
      </c>
      <c r="N65" s="58">
        <f>SUM(N16:N64)</f>
        <v>226072.46000000002</v>
      </c>
      <c r="O65" s="58">
        <f>SUM(O14:O64)</f>
        <v>356265.25</v>
      </c>
      <c r="P65" s="58">
        <f>SUM(P15:P64)</f>
        <v>207373.30000000002</v>
      </c>
      <c r="Q65" s="58">
        <f>SUM(Q15:Q64)</f>
        <v>118756.54000000001</v>
      </c>
      <c r="R65" s="58">
        <f>SUM(R15:R64)</f>
        <v>338154.5</v>
      </c>
      <c r="S65" s="58">
        <f>SUM(S14:S64)</f>
        <v>0</v>
      </c>
      <c r="T65" s="58">
        <f>SUM(T15:T64)</f>
        <v>69600</v>
      </c>
      <c r="U65" s="58">
        <f>SUM(U16:U64)</f>
        <v>733884.34</v>
      </c>
      <c r="V65" s="59">
        <f>SUM(V16:V63)</f>
        <v>5419280.0800000001</v>
      </c>
      <c r="Y65" s="12"/>
    </row>
    <row r="66" spans="6:26" ht="15.75" x14ac:dyDescent="0.25">
      <c r="F66" s="35"/>
      <c r="G66" s="30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30"/>
      <c r="Y66" s="12"/>
    </row>
    <row r="67" spans="6:26" ht="15.75" x14ac:dyDescent="0.25">
      <c r="F67" s="35"/>
      <c r="G67" s="30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60"/>
      <c r="T67" s="48"/>
      <c r="U67" s="48"/>
      <c r="V67" s="30"/>
      <c r="Y67" s="12"/>
    </row>
    <row r="68" spans="6:26" ht="16.5" thickBot="1" x14ac:dyDescent="0.3">
      <c r="F68" s="35"/>
      <c r="G68" s="30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30" t="s">
        <v>42</v>
      </c>
      <c r="Y68" s="12"/>
    </row>
    <row r="69" spans="6:26" ht="16.5" thickBot="1" x14ac:dyDescent="0.3">
      <c r="F69" s="35"/>
      <c r="G69" s="30"/>
      <c r="H69" s="48"/>
      <c r="I69" s="48"/>
      <c r="J69" s="141" t="s">
        <v>46</v>
      </c>
      <c r="K69" s="142"/>
      <c r="L69" s="48"/>
      <c r="M69" s="48"/>
      <c r="N69" s="48"/>
      <c r="O69" s="48"/>
      <c r="P69" s="144" t="str">
        <f>P12</f>
        <v>Fuente de Financiamiento 22</v>
      </c>
      <c r="Q69" s="145"/>
      <c r="R69" s="146"/>
      <c r="S69" s="48"/>
      <c r="T69" s="48"/>
      <c r="U69" s="48"/>
      <c r="V69" s="30"/>
      <c r="Y69" s="12"/>
    </row>
    <row r="70" spans="6:26" ht="45.75" customHeight="1" thickBot="1" x14ac:dyDescent="0.3">
      <c r="F70" s="124" t="s">
        <v>48</v>
      </c>
      <c r="G70" s="125" t="s">
        <v>49</v>
      </c>
      <c r="H70" s="125" t="s">
        <v>131</v>
      </c>
      <c r="I70" s="135" t="str">
        <f>I13</f>
        <v>Ampliacion de Presupuesto</v>
      </c>
      <c r="J70" s="125" t="s">
        <v>52</v>
      </c>
      <c r="K70" s="125" t="s">
        <v>53</v>
      </c>
      <c r="L70" s="125" t="s">
        <v>54</v>
      </c>
      <c r="M70" s="125" t="str">
        <f>M13</f>
        <v>Enero</v>
      </c>
      <c r="N70" s="139" t="s">
        <v>3</v>
      </c>
      <c r="O70" s="139" t="s">
        <v>223</v>
      </c>
      <c r="P70" s="130">
        <f>P13</f>
        <v>0.2</v>
      </c>
      <c r="Q70" s="136">
        <f>Q13</f>
        <v>0.3</v>
      </c>
      <c r="R70" s="136">
        <f>R13</f>
        <v>0.5</v>
      </c>
      <c r="S70" s="136" t="str">
        <f>S13</f>
        <v>C.O.G. 2026</v>
      </c>
      <c r="T70" s="136" t="str">
        <f>T13</f>
        <v>Saldo de Caja 2026</v>
      </c>
      <c r="U70" s="128" t="s">
        <v>56</v>
      </c>
      <c r="V70" s="137" t="s">
        <v>57</v>
      </c>
      <c r="Y70" s="12"/>
    </row>
    <row r="71" spans="6:26" ht="15.75" x14ac:dyDescent="0.25">
      <c r="F71" s="61"/>
      <c r="G71" s="62" t="s">
        <v>132</v>
      </c>
      <c r="H71" s="37">
        <f>+H65</f>
        <v>6023164.4199999999</v>
      </c>
      <c r="I71" s="37">
        <f>I65</f>
        <v>0</v>
      </c>
      <c r="J71" s="63">
        <f>+J65</f>
        <v>130000</v>
      </c>
      <c r="K71" s="63">
        <f>+K65</f>
        <v>0</v>
      </c>
      <c r="L71" s="63">
        <f>+L65</f>
        <v>6153164.4199999999</v>
      </c>
      <c r="M71" s="37">
        <f t="shared" ref="M71" si="4">M65</f>
        <v>151546.63</v>
      </c>
      <c r="N71" s="37">
        <f>N65</f>
        <v>226072.46000000002</v>
      </c>
      <c r="O71" s="37">
        <f>O65</f>
        <v>356265.25</v>
      </c>
      <c r="P71" s="37">
        <f t="shared" ref="P71:T71" si="5">P65</f>
        <v>207373.30000000002</v>
      </c>
      <c r="Q71" s="37">
        <f t="shared" si="5"/>
        <v>118756.54000000001</v>
      </c>
      <c r="R71" s="37">
        <f t="shared" si="5"/>
        <v>338154.5</v>
      </c>
      <c r="S71" s="37">
        <f t="shared" si="5"/>
        <v>0</v>
      </c>
      <c r="T71" s="37">
        <f t="shared" si="5"/>
        <v>69600</v>
      </c>
      <c r="U71" s="40">
        <f>U65</f>
        <v>733884.34</v>
      </c>
      <c r="V71" s="64">
        <f>+V65</f>
        <v>5419280.0800000001</v>
      </c>
      <c r="Y71" s="12"/>
    </row>
    <row r="72" spans="6:26" ht="15.75" x14ac:dyDescent="0.25">
      <c r="F72" s="42"/>
      <c r="G72" s="39" t="s">
        <v>133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1"/>
      <c r="Y72" s="12"/>
    </row>
    <row r="73" spans="6:26" ht="15.75" x14ac:dyDescent="0.25">
      <c r="F73" s="42"/>
      <c r="G73" s="39" t="s">
        <v>134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1"/>
      <c r="Y73" s="12"/>
    </row>
    <row r="74" spans="6:26" ht="15.75" x14ac:dyDescent="0.25">
      <c r="F74" s="42">
        <v>182</v>
      </c>
      <c r="G74" s="43" t="s">
        <v>135</v>
      </c>
      <c r="H74" s="40">
        <v>2500</v>
      </c>
      <c r="I74" s="40"/>
      <c r="J74" s="40"/>
      <c r="K74" s="40"/>
      <c r="L74" s="40">
        <f>+H74+I74+J74-K74</f>
        <v>2500</v>
      </c>
      <c r="M74" s="40">
        <v>0</v>
      </c>
      <c r="N74" s="40">
        <v>0</v>
      </c>
      <c r="O74" s="40">
        <v>400</v>
      </c>
      <c r="P74" s="40"/>
      <c r="Q74" s="40">
        <v>400</v>
      </c>
      <c r="R74" s="40"/>
      <c r="S74" s="40"/>
      <c r="T74" s="40"/>
      <c r="U74" s="40">
        <f>SUM(M74:O74)</f>
        <v>400</v>
      </c>
      <c r="V74" s="41">
        <f t="shared" ref="V74:V80" si="6">+L74-U74</f>
        <v>2100</v>
      </c>
      <c r="Y74" s="12"/>
    </row>
    <row r="75" spans="6:26" ht="15.75" x14ac:dyDescent="0.25">
      <c r="F75" s="42" t="s">
        <v>136</v>
      </c>
      <c r="G75" s="43" t="s">
        <v>137</v>
      </c>
      <c r="H75" s="40">
        <v>2000</v>
      </c>
      <c r="I75" s="40"/>
      <c r="J75" s="40"/>
      <c r="K75" s="40"/>
      <c r="L75" s="40">
        <f t="shared" ref="L75:L140" si="7">+H75+I75+J75-K75</f>
        <v>2000</v>
      </c>
      <c r="M75" s="40">
        <v>0</v>
      </c>
      <c r="N75" s="40">
        <v>0</v>
      </c>
      <c r="O75" s="40">
        <v>0</v>
      </c>
      <c r="P75" s="50"/>
      <c r="Q75" s="50"/>
      <c r="R75" s="50"/>
      <c r="S75" s="50"/>
      <c r="T75" s="50"/>
      <c r="U75" s="40">
        <f t="shared" ref="U75:U138" si="8">SUM(M75:O75)</f>
        <v>0</v>
      </c>
      <c r="V75" s="41">
        <f t="shared" si="6"/>
        <v>2000</v>
      </c>
      <c r="Y75" s="12"/>
    </row>
    <row r="76" spans="6:26" ht="15.75" x14ac:dyDescent="0.25">
      <c r="F76" s="42">
        <v>184</v>
      </c>
      <c r="G76" s="43" t="s">
        <v>219</v>
      </c>
      <c r="H76" s="40"/>
      <c r="I76" s="40"/>
      <c r="J76" s="40"/>
      <c r="K76" s="40"/>
      <c r="L76" s="40">
        <f t="shared" si="7"/>
        <v>0</v>
      </c>
      <c r="M76" s="40">
        <v>0</v>
      </c>
      <c r="N76" s="40">
        <v>0</v>
      </c>
      <c r="O76" s="40">
        <v>0</v>
      </c>
      <c r="P76" s="50"/>
      <c r="Q76" s="50"/>
      <c r="R76" s="50"/>
      <c r="S76" s="50"/>
      <c r="T76" s="50"/>
      <c r="U76" s="40">
        <f t="shared" si="8"/>
        <v>0</v>
      </c>
      <c r="V76" s="41">
        <f t="shared" si="6"/>
        <v>0</v>
      </c>
      <c r="Y76" s="12"/>
    </row>
    <row r="77" spans="6:26" ht="15.75" x14ac:dyDescent="0.25">
      <c r="F77" s="42">
        <v>185</v>
      </c>
      <c r="G77" s="43" t="s">
        <v>138</v>
      </c>
      <c r="H77" s="40">
        <v>27500</v>
      </c>
      <c r="I77" s="40"/>
      <c r="J77" s="40"/>
      <c r="K77" s="40"/>
      <c r="L77" s="40">
        <f t="shared" si="7"/>
        <v>27500</v>
      </c>
      <c r="M77" s="40">
        <v>0</v>
      </c>
      <c r="N77" s="40">
        <v>21700</v>
      </c>
      <c r="O77" s="40">
        <v>0</v>
      </c>
      <c r="P77" s="50"/>
      <c r="Q77" s="50">
        <v>10850</v>
      </c>
      <c r="R77" s="50">
        <v>10850</v>
      </c>
      <c r="S77" s="50"/>
      <c r="T77" s="50"/>
      <c r="U77" s="40">
        <f t="shared" si="8"/>
        <v>21700</v>
      </c>
      <c r="V77" s="41">
        <f t="shared" si="6"/>
        <v>5800</v>
      </c>
      <c r="Y77" s="12"/>
      <c r="Z77" s="12"/>
    </row>
    <row r="78" spans="6:26" ht="15.75" x14ac:dyDescent="0.25">
      <c r="F78" s="42">
        <v>186</v>
      </c>
      <c r="G78" s="43" t="s">
        <v>139</v>
      </c>
      <c r="H78" s="40">
        <v>2000</v>
      </c>
      <c r="I78" s="40"/>
      <c r="J78" s="40"/>
      <c r="K78" s="40"/>
      <c r="L78" s="40">
        <f t="shared" si="7"/>
        <v>2000</v>
      </c>
      <c r="M78" s="40">
        <v>0</v>
      </c>
      <c r="N78" s="40">
        <v>0</v>
      </c>
      <c r="O78" s="40">
        <v>0</v>
      </c>
      <c r="P78" s="50"/>
      <c r="Q78" s="50"/>
      <c r="R78" s="50"/>
      <c r="S78" s="50"/>
      <c r="T78" s="50"/>
      <c r="U78" s="40">
        <f t="shared" si="8"/>
        <v>0</v>
      </c>
      <c r="V78" s="41">
        <f t="shared" si="6"/>
        <v>2000</v>
      </c>
      <c r="Y78" s="12"/>
    </row>
    <row r="79" spans="6:26" ht="15.75" x14ac:dyDescent="0.25">
      <c r="F79" s="42">
        <v>188</v>
      </c>
      <c r="G79" s="43" t="s">
        <v>220</v>
      </c>
      <c r="H79" s="40"/>
      <c r="I79" s="40"/>
      <c r="J79" s="40">
        <v>20000</v>
      </c>
      <c r="K79" s="40"/>
      <c r="L79" s="40">
        <f t="shared" si="7"/>
        <v>20000</v>
      </c>
      <c r="M79" s="40">
        <v>0</v>
      </c>
      <c r="N79" s="40">
        <v>0</v>
      </c>
      <c r="O79" s="40">
        <v>2500</v>
      </c>
      <c r="P79" s="50"/>
      <c r="Q79" s="50"/>
      <c r="R79" s="50">
        <v>2500</v>
      </c>
      <c r="S79" s="50"/>
      <c r="T79" s="50"/>
      <c r="U79" s="40">
        <f t="shared" si="8"/>
        <v>2500</v>
      </c>
      <c r="V79" s="41">
        <f t="shared" si="6"/>
        <v>17500</v>
      </c>
      <c r="Y79" s="12"/>
    </row>
    <row r="80" spans="6:26" ht="15.75" x14ac:dyDescent="0.25">
      <c r="F80" s="42">
        <v>189</v>
      </c>
      <c r="G80" s="43" t="s">
        <v>140</v>
      </c>
      <c r="H80" s="40">
        <v>265000</v>
      </c>
      <c r="I80" s="40"/>
      <c r="J80" s="40"/>
      <c r="K80" s="40"/>
      <c r="L80" s="40">
        <f t="shared" si="7"/>
        <v>265000</v>
      </c>
      <c r="M80" s="40">
        <v>17500</v>
      </c>
      <c r="N80" s="40">
        <v>24465.47</v>
      </c>
      <c r="O80" s="40">
        <v>44545.47</v>
      </c>
      <c r="P80" s="50">
        <f>6000+12000</f>
        <v>18000</v>
      </c>
      <c r="Q80" s="51">
        <f>23025.47+21545.47-14406.91</f>
        <v>30164.030000000002</v>
      </c>
      <c r="R80" s="50">
        <f>8000+3500+1440+11000</f>
        <v>23940</v>
      </c>
      <c r="S80" s="50">
        <v>14406.91</v>
      </c>
      <c r="T80" s="50"/>
      <c r="U80" s="40">
        <f t="shared" si="8"/>
        <v>86510.94</v>
      </c>
      <c r="V80" s="41">
        <f t="shared" si="6"/>
        <v>178489.06</v>
      </c>
      <c r="Y80" s="12"/>
      <c r="Z80" s="65"/>
    </row>
    <row r="81" spans="6:26" ht="15.75" x14ac:dyDescent="0.25">
      <c r="F81" s="42"/>
      <c r="G81" s="39" t="s">
        <v>141</v>
      </c>
      <c r="H81" s="40"/>
      <c r="I81" s="40"/>
      <c r="J81" s="40"/>
      <c r="K81" s="40"/>
      <c r="L81" s="40"/>
      <c r="M81" s="40"/>
      <c r="N81" s="40"/>
      <c r="O81" s="40"/>
      <c r="P81" s="50"/>
      <c r="Q81" s="50"/>
      <c r="R81" s="50"/>
      <c r="S81" s="50"/>
      <c r="T81" s="50"/>
      <c r="U81" s="40"/>
      <c r="V81" s="41"/>
      <c r="Y81" s="12"/>
    </row>
    <row r="82" spans="6:26" ht="15.75" x14ac:dyDescent="0.25">
      <c r="F82" s="42" t="s">
        <v>142</v>
      </c>
      <c r="G82" s="43" t="s">
        <v>143</v>
      </c>
      <c r="H82" s="40">
        <f>103996.24+44611.01</f>
        <v>148607.25</v>
      </c>
      <c r="I82" s="40"/>
      <c r="J82" s="40"/>
      <c r="K82" s="40"/>
      <c r="L82" s="40">
        <f t="shared" si="7"/>
        <v>148607.25</v>
      </c>
      <c r="M82" s="40">
        <v>180.55</v>
      </c>
      <c r="N82" s="40">
        <v>18600</v>
      </c>
      <c r="O82" s="40">
        <v>499.1</v>
      </c>
      <c r="P82" s="50">
        <f>3100</f>
        <v>3100</v>
      </c>
      <c r="Q82" s="50">
        <f>180.55+13950</f>
        <v>14130.55</v>
      </c>
      <c r="R82" s="50">
        <f>1550+499.1</f>
        <v>2049.1</v>
      </c>
      <c r="S82" s="50"/>
      <c r="T82" s="50"/>
      <c r="U82" s="40">
        <f t="shared" si="8"/>
        <v>19279.649999999998</v>
      </c>
      <c r="V82" s="41">
        <f t="shared" ref="V82:V87" si="9">+L82-U82</f>
        <v>129327.6</v>
      </c>
      <c r="Y82" s="12"/>
      <c r="Z82" s="12"/>
    </row>
    <row r="83" spans="6:26" ht="15.75" x14ac:dyDescent="0.25">
      <c r="F83" s="42">
        <v>194</v>
      </c>
      <c r="G83" s="43" t="s">
        <v>144</v>
      </c>
      <c r="H83" s="47">
        <v>2500</v>
      </c>
      <c r="I83" s="40"/>
      <c r="J83" s="40"/>
      <c r="K83" s="40"/>
      <c r="L83" s="40">
        <f t="shared" si="7"/>
        <v>2500</v>
      </c>
      <c r="M83" s="40">
        <v>0</v>
      </c>
      <c r="N83" s="40">
        <v>0</v>
      </c>
      <c r="O83" s="40">
        <v>0</v>
      </c>
      <c r="P83" s="50"/>
      <c r="Q83" s="50"/>
      <c r="R83" s="50"/>
      <c r="S83" s="50"/>
      <c r="T83" s="50"/>
      <c r="U83" s="40">
        <f t="shared" si="8"/>
        <v>0</v>
      </c>
      <c r="V83" s="41">
        <f t="shared" si="9"/>
        <v>2500</v>
      </c>
      <c r="Y83" s="12"/>
    </row>
    <row r="84" spans="6:26" ht="15.75" x14ac:dyDescent="0.25">
      <c r="F84" s="42" t="s">
        <v>145</v>
      </c>
      <c r="G84" s="43" t="s">
        <v>146</v>
      </c>
      <c r="H84" s="40">
        <v>5000</v>
      </c>
      <c r="I84" s="40"/>
      <c r="J84" s="40"/>
      <c r="K84" s="40"/>
      <c r="L84" s="40">
        <f t="shared" si="7"/>
        <v>5000</v>
      </c>
      <c r="M84" s="40">
        <v>0</v>
      </c>
      <c r="N84" s="40">
        <v>0</v>
      </c>
      <c r="O84" s="40">
        <v>0</v>
      </c>
      <c r="P84" s="50"/>
      <c r="Q84" s="50"/>
      <c r="R84" s="50"/>
      <c r="S84" s="50"/>
      <c r="T84" s="50"/>
      <c r="U84" s="40">
        <f t="shared" si="8"/>
        <v>0</v>
      </c>
      <c r="V84" s="41">
        <f t="shared" si="9"/>
        <v>5000</v>
      </c>
      <c r="Y84" s="12"/>
    </row>
    <row r="85" spans="6:26" ht="15.75" x14ac:dyDescent="0.25">
      <c r="F85" s="42">
        <v>196</v>
      </c>
      <c r="G85" s="43" t="s">
        <v>147</v>
      </c>
      <c r="H85" s="40">
        <v>170000</v>
      </c>
      <c r="I85" s="40"/>
      <c r="J85" s="40"/>
      <c r="K85" s="40"/>
      <c r="L85" s="40">
        <f t="shared" si="7"/>
        <v>170000</v>
      </c>
      <c r="M85" s="40">
        <v>8193.2800000000007</v>
      </c>
      <c r="N85" s="40">
        <v>0</v>
      </c>
      <c r="O85" s="40">
        <v>0</v>
      </c>
      <c r="P85" s="40">
        <v>8193.2800000000007</v>
      </c>
      <c r="Q85" s="40"/>
      <c r="R85" s="40"/>
      <c r="S85" s="40"/>
      <c r="T85" s="40"/>
      <c r="U85" s="40">
        <f t="shared" si="8"/>
        <v>8193.2800000000007</v>
      </c>
      <c r="V85" s="41">
        <f t="shared" si="9"/>
        <v>161806.72</v>
      </c>
      <c r="X85" s="12"/>
      <c r="Y85" s="12"/>
    </row>
    <row r="86" spans="6:26" ht="15.75" x14ac:dyDescent="0.25">
      <c r="F86" s="42">
        <v>197</v>
      </c>
      <c r="G86" s="43" t="s">
        <v>212</v>
      </c>
      <c r="H86" s="40"/>
      <c r="I86" s="40"/>
      <c r="J86" s="40"/>
      <c r="K86" s="40"/>
      <c r="L86" s="40"/>
      <c r="M86" s="40">
        <v>0</v>
      </c>
      <c r="N86" s="40">
        <v>0</v>
      </c>
      <c r="O86" s="40">
        <v>0</v>
      </c>
      <c r="P86" s="40"/>
      <c r="Q86" s="40"/>
      <c r="R86" s="40"/>
      <c r="S86" s="40"/>
      <c r="T86" s="40"/>
      <c r="U86" s="40">
        <f t="shared" si="8"/>
        <v>0</v>
      </c>
      <c r="V86" s="41">
        <f t="shared" si="9"/>
        <v>0</v>
      </c>
      <c r="X86" s="12"/>
      <c r="Y86" s="12"/>
    </row>
    <row r="87" spans="6:26" ht="15.75" x14ac:dyDescent="0.25">
      <c r="F87" s="42">
        <v>199</v>
      </c>
      <c r="G87" s="43" t="s">
        <v>148</v>
      </c>
      <c r="H87" s="40">
        <v>272500</v>
      </c>
      <c r="I87" s="40"/>
      <c r="J87" s="40"/>
      <c r="K87" s="40"/>
      <c r="L87" s="40">
        <f t="shared" si="7"/>
        <v>272500</v>
      </c>
      <c r="M87" s="40">
        <v>0</v>
      </c>
      <c r="N87" s="40">
        <v>176.6</v>
      </c>
      <c r="O87" s="40">
        <v>3085</v>
      </c>
      <c r="P87" s="50">
        <f>N87+185</f>
        <v>361.6</v>
      </c>
      <c r="Q87" s="40"/>
      <c r="R87" s="50">
        <f>2900</f>
        <v>2900</v>
      </c>
      <c r="S87" s="40"/>
      <c r="T87" s="40"/>
      <c r="U87" s="40">
        <f t="shared" si="8"/>
        <v>3261.6</v>
      </c>
      <c r="V87" s="41">
        <f t="shared" si="9"/>
        <v>269238.40000000002</v>
      </c>
      <c r="Y87" s="12"/>
    </row>
    <row r="88" spans="6:26" ht="15.75" x14ac:dyDescent="0.25">
      <c r="F88" s="66"/>
      <c r="G88" s="39" t="s">
        <v>149</v>
      </c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1"/>
      <c r="Y88" s="12"/>
    </row>
    <row r="89" spans="6:26" ht="15.75" x14ac:dyDescent="0.25">
      <c r="F89" s="66"/>
      <c r="G89" s="39" t="s">
        <v>150</v>
      </c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1"/>
      <c r="Y89" s="12"/>
    </row>
    <row r="90" spans="6:26" ht="15.75" x14ac:dyDescent="0.25">
      <c r="F90" s="42" t="s">
        <v>151</v>
      </c>
      <c r="G90" s="43" t="s">
        <v>152</v>
      </c>
      <c r="H90" s="40">
        <v>200000</v>
      </c>
      <c r="I90" s="40"/>
      <c r="J90" s="40"/>
      <c r="K90" s="40"/>
      <c r="L90" s="40">
        <f t="shared" si="7"/>
        <v>200000</v>
      </c>
      <c r="M90" s="40">
        <v>16688.7</v>
      </c>
      <c r="N90" s="40">
        <v>24103.05</v>
      </c>
      <c r="O90" s="40">
        <v>4532.74</v>
      </c>
      <c r="P90" s="40">
        <f>16688.7+3537+1635</f>
        <v>21860.7</v>
      </c>
      <c r="Q90" s="40">
        <f>15052.23+418</f>
        <v>15470.23</v>
      </c>
      <c r="R90" s="40">
        <f>5513.82+2479.74</f>
        <v>7993.5599999999995</v>
      </c>
      <c r="S90" s="40"/>
      <c r="T90" s="40"/>
      <c r="U90" s="40">
        <f t="shared" si="8"/>
        <v>45324.49</v>
      </c>
      <c r="V90" s="41">
        <f t="shared" ref="V90:V98" si="10">+L90-U90</f>
        <v>154675.51</v>
      </c>
      <c r="Y90" s="12"/>
    </row>
    <row r="91" spans="6:26" ht="15.75" x14ac:dyDescent="0.25">
      <c r="F91" s="42">
        <v>214</v>
      </c>
      <c r="G91" s="43" t="s">
        <v>153</v>
      </c>
      <c r="H91" s="40">
        <v>77000</v>
      </c>
      <c r="I91" s="40"/>
      <c r="J91" s="40"/>
      <c r="K91" s="40"/>
      <c r="L91" s="40">
        <f t="shared" si="7"/>
        <v>77000</v>
      </c>
      <c r="M91" s="40">
        <v>0</v>
      </c>
      <c r="N91" s="40">
        <v>0</v>
      </c>
      <c r="O91" s="40">
        <v>0</v>
      </c>
      <c r="P91" s="40"/>
      <c r="Q91" s="40"/>
      <c r="R91" s="40"/>
      <c r="S91" s="40"/>
      <c r="T91" s="40"/>
      <c r="U91" s="40">
        <f t="shared" si="8"/>
        <v>0</v>
      </c>
      <c r="V91" s="41">
        <f t="shared" si="10"/>
        <v>77000</v>
      </c>
      <c r="Y91" s="12"/>
    </row>
    <row r="92" spans="6:26" ht="15.75" x14ac:dyDescent="0.25">
      <c r="F92" s="42">
        <v>233</v>
      </c>
      <c r="G92" s="43" t="s">
        <v>154</v>
      </c>
      <c r="H92" s="40">
        <v>125000</v>
      </c>
      <c r="I92" s="40"/>
      <c r="J92" s="40"/>
      <c r="K92" s="40"/>
      <c r="L92" s="40">
        <f t="shared" si="7"/>
        <v>125000</v>
      </c>
      <c r="M92" s="40">
        <v>0</v>
      </c>
      <c r="N92" s="40">
        <v>9200</v>
      </c>
      <c r="O92" s="40">
        <v>54390</v>
      </c>
      <c r="P92" s="40"/>
      <c r="Q92" s="40">
        <f>O92</f>
        <v>54390</v>
      </c>
      <c r="R92" s="40">
        <f>N92</f>
        <v>9200</v>
      </c>
      <c r="S92" s="40"/>
      <c r="T92" s="40"/>
      <c r="U92" s="40">
        <f t="shared" si="8"/>
        <v>63590</v>
      </c>
      <c r="V92" s="41">
        <f t="shared" si="10"/>
        <v>61410</v>
      </c>
      <c r="Y92" s="12"/>
    </row>
    <row r="93" spans="6:26" ht="15.75" x14ac:dyDescent="0.25">
      <c r="F93" s="42">
        <v>239</v>
      </c>
      <c r="G93" s="43" t="s">
        <v>155</v>
      </c>
      <c r="H93" s="40">
        <v>5000</v>
      </c>
      <c r="I93" s="40"/>
      <c r="J93" s="40"/>
      <c r="K93" s="40"/>
      <c r="L93" s="40">
        <f t="shared" si="7"/>
        <v>5000</v>
      </c>
      <c r="M93" s="40">
        <v>0</v>
      </c>
      <c r="N93" s="40">
        <v>0</v>
      </c>
      <c r="O93" s="40">
        <v>0</v>
      </c>
      <c r="P93" s="40"/>
      <c r="Q93" s="40"/>
      <c r="R93" s="40"/>
      <c r="S93" s="40"/>
      <c r="T93" s="40"/>
      <c r="U93" s="40">
        <f t="shared" si="8"/>
        <v>0</v>
      </c>
      <c r="V93" s="41">
        <f t="shared" si="10"/>
        <v>5000</v>
      </c>
      <c r="Y93" s="12"/>
    </row>
    <row r="94" spans="6:26" ht="15.75" x14ac:dyDescent="0.25">
      <c r="F94" s="42">
        <v>241</v>
      </c>
      <c r="G94" s="43" t="s">
        <v>156</v>
      </c>
      <c r="H94" s="40">
        <v>2100</v>
      </c>
      <c r="I94" s="40"/>
      <c r="J94" s="40"/>
      <c r="K94" s="40"/>
      <c r="L94" s="40">
        <f t="shared" si="7"/>
        <v>2100</v>
      </c>
      <c r="M94" s="40">
        <v>0</v>
      </c>
      <c r="N94" s="40">
        <v>0</v>
      </c>
      <c r="O94" s="40">
        <v>0</v>
      </c>
      <c r="P94" s="40"/>
      <c r="Q94" s="40"/>
      <c r="R94" s="40"/>
      <c r="S94" s="40"/>
      <c r="T94" s="40"/>
      <c r="U94" s="40">
        <f t="shared" si="8"/>
        <v>0</v>
      </c>
      <c r="V94" s="41">
        <f t="shared" si="10"/>
        <v>2100</v>
      </c>
      <c r="Y94" s="12"/>
    </row>
    <row r="95" spans="6:26" ht="15.75" x14ac:dyDescent="0.25">
      <c r="F95" s="42">
        <v>244</v>
      </c>
      <c r="G95" s="43" t="s">
        <v>157</v>
      </c>
      <c r="H95" s="40"/>
      <c r="I95" s="40"/>
      <c r="J95" s="40">
        <v>2624</v>
      </c>
      <c r="K95" s="40"/>
      <c r="L95" s="40">
        <f t="shared" si="7"/>
        <v>2624</v>
      </c>
      <c r="M95" s="40">
        <v>2624</v>
      </c>
      <c r="N95" s="40">
        <v>0</v>
      </c>
      <c r="O95" s="40">
        <v>0</v>
      </c>
      <c r="P95" s="40">
        <v>1476</v>
      </c>
      <c r="Q95" s="40"/>
      <c r="R95" s="40">
        <v>1148</v>
      </c>
      <c r="S95" s="40"/>
      <c r="T95" s="40"/>
      <c r="U95" s="40">
        <f t="shared" si="8"/>
        <v>2624</v>
      </c>
      <c r="V95" s="41">
        <f t="shared" si="10"/>
        <v>0</v>
      </c>
      <c r="Y95" s="12"/>
    </row>
    <row r="96" spans="6:26" ht="15.75" x14ac:dyDescent="0.25">
      <c r="F96" s="42">
        <v>245</v>
      </c>
      <c r="G96" s="43" t="s">
        <v>158</v>
      </c>
      <c r="H96" s="40">
        <v>1000</v>
      </c>
      <c r="I96" s="40"/>
      <c r="J96" s="40"/>
      <c r="K96" s="40"/>
      <c r="L96" s="40">
        <f t="shared" si="7"/>
        <v>1000</v>
      </c>
      <c r="M96" s="40">
        <v>0</v>
      </c>
      <c r="N96" s="40">
        <v>0</v>
      </c>
      <c r="O96" s="40">
        <v>0</v>
      </c>
      <c r="P96" s="40"/>
      <c r="Q96" s="40"/>
      <c r="R96" s="40"/>
      <c r="S96" s="40"/>
      <c r="T96" s="40"/>
      <c r="U96" s="40">
        <f t="shared" si="8"/>
        <v>0</v>
      </c>
      <c r="V96" s="41">
        <f t="shared" si="10"/>
        <v>1000</v>
      </c>
      <c r="Y96" s="12"/>
    </row>
    <row r="97" spans="6:25" ht="15.75" x14ac:dyDescent="0.25">
      <c r="F97" s="42">
        <v>247</v>
      </c>
      <c r="G97" s="43" t="s">
        <v>159</v>
      </c>
      <c r="H97" s="40">
        <v>500</v>
      </c>
      <c r="I97" s="40"/>
      <c r="J97" s="40"/>
      <c r="K97" s="40"/>
      <c r="L97" s="40">
        <f t="shared" si="7"/>
        <v>500</v>
      </c>
      <c r="M97" s="40">
        <v>0</v>
      </c>
      <c r="N97" s="40">
        <v>0</v>
      </c>
      <c r="O97" s="40">
        <v>0</v>
      </c>
      <c r="P97" s="40"/>
      <c r="Q97" s="40"/>
      <c r="R97" s="40"/>
      <c r="S97" s="40"/>
      <c r="T97" s="40"/>
      <c r="U97" s="40">
        <f t="shared" si="8"/>
        <v>0</v>
      </c>
      <c r="V97" s="41">
        <f t="shared" si="10"/>
        <v>500</v>
      </c>
      <c r="Y97" s="12"/>
    </row>
    <row r="98" spans="6:25" ht="15.75" x14ac:dyDescent="0.25">
      <c r="F98" s="42">
        <v>249</v>
      </c>
      <c r="G98" s="43" t="s">
        <v>160</v>
      </c>
      <c r="H98" s="40">
        <v>1000</v>
      </c>
      <c r="I98" s="40"/>
      <c r="J98" s="40"/>
      <c r="K98" s="40"/>
      <c r="L98" s="40">
        <f t="shared" si="7"/>
        <v>1000</v>
      </c>
      <c r="M98" s="40">
        <v>0</v>
      </c>
      <c r="N98" s="40">
        <v>0</v>
      </c>
      <c r="O98" s="40">
        <v>0</v>
      </c>
      <c r="P98" s="40"/>
      <c r="Q98" s="40"/>
      <c r="R98" s="40"/>
      <c r="S98" s="40"/>
      <c r="T98" s="40"/>
      <c r="U98" s="40">
        <f t="shared" si="8"/>
        <v>0</v>
      </c>
      <c r="V98" s="41">
        <f t="shared" si="10"/>
        <v>1000</v>
      </c>
      <c r="Y98" s="12"/>
    </row>
    <row r="99" spans="6:25" ht="15.75" x14ac:dyDescent="0.25">
      <c r="F99" s="42"/>
      <c r="G99" s="39" t="s">
        <v>161</v>
      </c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1"/>
      <c r="Y99" s="12"/>
    </row>
    <row r="100" spans="6:25" ht="15.75" x14ac:dyDescent="0.25">
      <c r="F100" s="42" t="s">
        <v>162</v>
      </c>
      <c r="G100" s="43" t="s">
        <v>163</v>
      </c>
      <c r="H100" s="40">
        <v>26000</v>
      </c>
      <c r="I100" s="40"/>
      <c r="J100" s="40"/>
      <c r="K100" s="40"/>
      <c r="L100" s="40">
        <f t="shared" si="7"/>
        <v>26000</v>
      </c>
      <c r="M100" s="40">
        <v>0</v>
      </c>
      <c r="N100" s="40">
        <v>0</v>
      </c>
      <c r="O100" s="40">
        <v>210</v>
      </c>
      <c r="P100" s="40">
        <f>O100</f>
        <v>210</v>
      </c>
      <c r="Q100" s="40"/>
      <c r="R100" s="40"/>
      <c r="S100" s="40"/>
      <c r="T100" s="40"/>
      <c r="U100" s="40">
        <f t="shared" si="8"/>
        <v>210</v>
      </c>
      <c r="V100" s="41">
        <f>+L100-U100</f>
        <v>25790</v>
      </c>
      <c r="Y100" s="12"/>
    </row>
    <row r="101" spans="6:25" ht="15.75" x14ac:dyDescent="0.25">
      <c r="F101" s="42">
        <v>264</v>
      </c>
      <c r="G101" s="43" t="s">
        <v>213</v>
      </c>
      <c r="H101" s="40"/>
      <c r="I101" s="40"/>
      <c r="J101" s="40"/>
      <c r="K101" s="40"/>
      <c r="L101" s="40">
        <f t="shared" si="7"/>
        <v>0</v>
      </c>
      <c r="M101" s="40">
        <v>0</v>
      </c>
      <c r="N101" s="40">
        <v>0</v>
      </c>
      <c r="O101" s="40">
        <v>0</v>
      </c>
      <c r="P101" s="40"/>
      <c r="Q101" s="40"/>
      <c r="R101" s="40"/>
      <c r="S101" s="40"/>
      <c r="T101" s="40"/>
      <c r="U101" s="40">
        <f t="shared" si="8"/>
        <v>0</v>
      </c>
      <c r="V101" s="41">
        <f>+L101-U101</f>
        <v>0</v>
      </c>
      <c r="Y101" s="12"/>
    </row>
    <row r="102" spans="6:25" ht="15.75" x14ac:dyDescent="0.25">
      <c r="F102" s="42" t="s">
        <v>164</v>
      </c>
      <c r="G102" s="43" t="s">
        <v>165</v>
      </c>
      <c r="H102" s="40">
        <v>5000</v>
      </c>
      <c r="I102" s="40"/>
      <c r="J102" s="40">
        <v>15000</v>
      </c>
      <c r="K102" s="40"/>
      <c r="L102" s="40">
        <f t="shared" si="7"/>
        <v>20000</v>
      </c>
      <c r="M102" s="40">
        <v>0</v>
      </c>
      <c r="N102" s="40">
        <v>7846.12</v>
      </c>
      <c r="O102" s="40">
        <v>540</v>
      </c>
      <c r="P102" s="40"/>
      <c r="Q102" s="40"/>
      <c r="R102" s="40">
        <f>N102+O102</f>
        <v>8386.119999999999</v>
      </c>
      <c r="S102" s="40"/>
      <c r="T102" s="40"/>
      <c r="U102" s="40">
        <f t="shared" si="8"/>
        <v>8386.119999999999</v>
      </c>
      <c r="V102" s="41">
        <f>+L102-U102</f>
        <v>11613.880000000001</v>
      </c>
      <c r="Y102" s="12"/>
    </row>
    <row r="103" spans="6:25" ht="15.75" x14ac:dyDescent="0.25">
      <c r="F103" s="42">
        <v>267</v>
      </c>
      <c r="G103" s="43" t="s">
        <v>166</v>
      </c>
      <c r="H103" s="40">
        <v>5000</v>
      </c>
      <c r="I103" s="40"/>
      <c r="J103" s="40"/>
      <c r="K103" s="40"/>
      <c r="L103" s="40">
        <f t="shared" si="7"/>
        <v>5000</v>
      </c>
      <c r="M103" s="40">
        <v>0</v>
      </c>
      <c r="N103" s="40">
        <v>0</v>
      </c>
      <c r="O103" s="40">
        <v>725</v>
      </c>
      <c r="P103" s="40">
        <f>O103</f>
        <v>725</v>
      </c>
      <c r="Q103" s="40"/>
      <c r="R103" s="40"/>
      <c r="S103" s="40"/>
      <c r="T103" s="40"/>
      <c r="U103" s="40">
        <f t="shared" si="8"/>
        <v>725</v>
      </c>
      <c r="V103" s="41">
        <f>+L103-U103</f>
        <v>4275</v>
      </c>
      <c r="Y103" s="12"/>
    </row>
    <row r="104" spans="6:25" ht="15.75" x14ac:dyDescent="0.25">
      <c r="F104" s="42">
        <v>268</v>
      </c>
      <c r="G104" s="43" t="s">
        <v>167</v>
      </c>
      <c r="H104" s="40">
        <v>2500</v>
      </c>
      <c r="I104" s="40"/>
      <c r="J104" s="40"/>
      <c r="K104" s="40"/>
      <c r="L104" s="40">
        <f t="shared" si="7"/>
        <v>2500</v>
      </c>
      <c r="M104" s="40">
        <v>0</v>
      </c>
      <c r="N104" s="40">
        <v>89.6</v>
      </c>
      <c r="O104" s="40">
        <v>0</v>
      </c>
      <c r="P104" s="40"/>
      <c r="Q104" s="40"/>
      <c r="R104" s="40">
        <f>N104</f>
        <v>89.6</v>
      </c>
      <c r="S104" s="40"/>
      <c r="T104" s="40"/>
      <c r="U104" s="40">
        <f t="shared" si="8"/>
        <v>89.6</v>
      </c>
      <c r="V104" s="41">
        <f>+L104-U104</f>
        <v>2410.4</v>
      </c>
      <c r="Y104" s="12"/>
    </row>
    <row r="105" spans="6:25" ht="15.75" x14ac:dyDescent="0.25">
      <c r="F105" s="42"/>
      <c r="G105" s="39" t="s">
        <v>168</v>
      </c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1"/>
      <c r="Y105" s="12"/>
    </row>
    <row r="106" spans="6:25" ht="15.75" x14ac:dyDescent="0.25">
      <c r="F106" s="42">
        <v>272</v>
      </c>
      <c r="G106" s="43" t="s">
        <v>169</v>
      </c>
      <c r="H106" s="40"/>
      <c r="I106" s="40"/>
      <c r="J106" s="40"/>
      <c r="K106" s="40"/>
      <c r="L106" s="40">
        <f t="shared" si="7"/>
        <v>0</v>
      </c>
      <c r="M106" s="40">
        <v>0</v>
      </c>
      <c r="N106" s="40">
        <v>0</v>
      </c>
      <c r="O106" s="40">
        <v>0</v>
      </c>
      <c r="P106" s="40"/>
      <c r="Q106" s="40"/>
      <c r="R106" s="40"/>
      <c r="S106" s="40"/>
      <c r="T106" s="40"/>
      <c r="U106" s="40">
        <f t="shared" si="8"/>
        <v>0</v>
      </c>
      <c r="V106" s="41">
        <f>+L106-U106</f>
        <v>0</v>
      </c>
      <c r="Y106" s="12"/>
    </row>
    <row r="107" spans="6:25" ht="18.75" customHeight="1" x14ac:dyDescent="0.25">
      <c r="F107" s="42">
        <v>275</v>
      </c>
      <c r="G107" s="44" t="s">
        <v>170</v>
      </c>
      <c r="H107" s="40">
        <v>6000</v>
      </c>
      <c r="I107" s="40"/>
      <c r="J107" s="40"/>
      <c r="K107" s="40"/>
      <c r="L107" s="40">
        <f t="shared" si="7"/>
        <v>6000</v>
      </c>
      <c r="M107" s="40">
        <v>0</v>
      </c>
      <c r="N107" s="40">
        <v>0</v>
      </c>
      <c r="O107" s="40">
        <v>0</v>
      </c>
      <c r="P107" s="40"/>
      <c r="Q107" s="40"/>
      <c r="R107" s="40"/>
      <c r="S107" s="40"/>
      <c r="T107" s="40"/>
      <c r="U107" s="40">
        <f t="shared" si="8"/>
        <v>0</v>
      </c>
      <c r="V107" s="41">
        <f>+L107-U107</f>
        <v>6000</v>
      </c>
      <c r="Y107" s="12"/>
    </row>
    <row r="108" spans="6:25" ht="15.75" x14ac:dyDescent="0.25">
      <c r="F108" s="42">
        <v>279</v>
      </c>
      <c r="G108" s="44" t="s">
        <v>171</v>
      </c>
      <c r="H108" s="40"/>
      <c r="I108" s="40"/>
      <c r="J108" s="40"/>
      <c r="K108" s="40"/>
      <c r="L108" s="40">
        <f t="shared" si="7"/>
        <v>0</v>
      </c>
      <c r="M108" s="40">
        <v>0</v>
      </c>
      <c r="N108" s="40">
        <v>0</v>
      </c>
      <c r="O108" s="40">
        <v>0</v>
      </c>
      <c r="P108" s="40"/>
      <c r="Q108" s="40"/>
      <c r="R108" s="40"/>
      <c r="S108" s="40"/>
      <c r="T108" s="40"/>
      <c r="U108" s="40">
        <f t="shared" si="8"/>
        <v>0</v>
      </c>
      <c r="V108" s="41">
        <f>+L108-U108</f>
        <v>0</v>
      </c>
      <c r="Y108" s="12"/>
    </row>
    <row r="109" spans="6:25" ht="15.75" x14ac:dyDescent="0.25">
      <c r="F109" s="42">
        <v>283</v>
      </c>
      <c r="G109" s="43" t="s">
        <v>172</v>
      </c>
      <c r="H109" s="40">
        <v>2500</v>
      </c>
      <c r="I109" s="40"/>
      <c r="J109" s="40">
        <v>10000</v>
      </c>
      <c r="K109" s="40"/>
      <c r="L109" s="40">
        <f t="shared" si="7"/>
        <v>12500</v>
      </c>
      <c r="M109" s="40">
        <v>0</v>
      </c>
      <c r="N109" s="40">
        <v>0</v>
      </c>
      <c r="O109" s="40">
        <v>5412.12</v>
      </c>
      <c r="P109" s="40"/>
      <c r="Q109" s="40"/>
      <c r="R109" s="40">
        <f>O109</f>
        <v>5412.12</v>
      </c>
      <c r="S109" s="40"/>
      <c r="T109" s="40"/>
      <c r="U109" s="40">
        <f t="shared" si="8"/>
        <v>5412.12</v>
      </c>
      <c r="V109" s="41">
        <f>+L109-U109</f>
        <v>7087.88</v>
      </c>
      <c r="Y109" s="12"/>
    </row>
    <row r="110" spans="6:25" ht="15.75" x14ac:dyDescent="0.25">
      <c r="F110" s="42"/>
      <c r="G110" s="39" t="s">
        <v>173</v>
      </c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1"/>
      <c r="Y110" s="12"/>
    </row>
    <row r="111" spans="6:25" ht="15.75" x14ac:dyDescent="0.25">
      <c r="F111" s="42" t="s">
        <v>174</v>
      </c>
      <c r="G111" s="43" t="s">
        <v>175</v>
      </c>
      <c r="H111" s="40">
        <v>65000</v>
      </c>
      <c r="I111" s="40"/>
      <c r="J111" s="40"/>
      <c r="K111" s="40"/>
      <c r="L111" s="40">
        <f t="shared" si="7"/>
        <v>65000</v>
      </c>
      <c r="M111" s="40">
        <v>0</v>
      </c>
      <c r="N111" s="40">
        <v>0</v>
      </c>
      <c r="O111" s="40">
        <v>11845.65</v>
      </c>
      <c r="P111" s="40">
        <f>O111</f>
        <v>11845.65</v>
      </c>
      <c r="Q111" s="40"/>
      <c r="R111" s="40"/>
      <c r="S111" s="40"/>
      <c r="T111" s="40"/>
      <c r="U111" s="40">
        <f t="shared" si="8"/>
        <v>11845.65</v>
      </c>
      <c r="V111" s="41">
        <f t="shared" ref="V111:V118" si="11">+L111-U111</f>
        <v>53154.35</v>
      </c>
      <c r="Y111" s="12"/>
    </row>
    <row r="112" spans="6:25" ht="15.75" x14ac:dyDescent="0.25">
      <c r="F112" s="42">
        <v>292</v>
      </c>
      <c r="G112" s="43" t="s">
        <v>176</v>
      </c>
      <c r="H112" s="40">
        <v>17841.150000000001</v>
      </c>
      <c r="I112" s="40"/>
      <c r="J112" s="40"/>
      <c r="K112" s="40"/>
      <c r="L112" s="40">
        <f t="shared" si="7"/>
        <v>17841.150000000001</v>
      </c>
      <c r="M112" s="40">
        <v>0</v>
      </c>
      <c r="N112" s="40">
        <v>3765.3</v>
      </c>
      <c r="O112" s="40">
        <v>4806.04</v>
      </c>
      <c r="P112" s="40">
        <f>N112</f>
        <v>3765.3</v>
      </c>
      <c r="Q112" s="40"/>
      <c r="R112" s="40">
        <f>O112</f>
        <v>4806.04</v>
      </c>
      <c r="S112" s="40"/>
      <c r="T112" s="40"/>
      <c r="U112" s="40">
        <f t="shared" si="8"/>
        <v>8571.34</v>
      </c>
      <c r="V112" s="41">
        <f t="shared" si="11"/>
        <v>9269.8100000000013</v>
      </c>
      <c r="Y112" s="12"/>
    </row>
    <row r="113" spans="6:25" ht="15.75" x14ac:dyDescent="0.25">
      <c r="F113" s="42" t="s">
        <v>177</v>
      </c>
      <c r="G113" s="43" t="s">
        <v>178</v>
      </c>
      <c r="H113" s="40">
        <v>525663.43999999994</v>
      </c>
      <c r="I113" s="40"/>
      <c r="J113" s="40"/>
      <c r="K113" s="40"/>
      <c r="L113" s="40">
        <f t="shared" si="7"/>
        <v>525663.43999999994</v>
      </c>
      <c r="M113" s="40">
        <v>0</v>
      </c>
      <c r="N113" s="40">
        <v>1650</v>
      </c>
      <c r="O113" s="40">
        <v>1153.1500000000001</v>
      </c>
      <c r="P113" s="40"/>
      <c r="Q113" s="40">
        <f>N113</f>
        <v>1650</v>
      </c>
      <c r="R113" s="40">
        <f>O113</f>
        <v>1153.1500000000001</v>
      </c>
      <c r="S113" s="40"/>
      <c r="T113" s="40"/>
      <c r="U113" s="40">
        <f t="shared" si="8"/>
        <v>2803.15</v>
      </c>
      <c r="V113" s="41">
        <f t="shared" si="11"/>
        <v>522860.28999999992</v>
      </c>
      <c r="Y113" s="12"/>
    </row>
    <row r="114" spans="6:25" ht="15.75" x14ac:dyDescent="0.25">
      <c r="F114" s="42">
        <v>295</v>
      </c>
      <c r="G114" s="43" t="s">
        <v>179</v>
      </c>
      <c r="H114" s="40">
        <v>6500</v>
      </c>
      <c r="I114" s="40"/>
      <c r="J114" s="40"/>
      <c r="K114" s="40"/>
      <c r="L114" s="40">
        <f t="shared" si="7"/>
        <v>6500</v>
      </c>
      <c r="M114" s="40">
        <v>0</v>
      </c>
      <c r="N114" s="40">
        <v>0</v>
      </c>
      <c r="O114" s="40">
        <v>0</v>
      </c>
      <c r="P114" s="40"/>
      <c r="Q114" s="40"/>
      <c r="R114" s="40"/>
      <c r="S114" s="40"/>
      <c r="T114" s="40"/>
      <c r="U114" s="40">
        <f t="shared" si="8"/>
        <v>0</v>
      </c>
      <c r="V114" s="41">
        <f t="shared" si="11"/>
        <v>6500</v>
      </c>
      <c r="Y114" s="12"/>
    </row>
    <row r="115" spans="6:25" ht="15.75" x14ac:dyDescent="0.25">
      <c r="F115" s="42">
        <v>296</v>
      </c>
      <c r="G115" s="43" t="s">
        <v>180</v>
      </c>
      <c r="H115" s="40">
        <v>1500</v>
      </c>
      <c r="I115" s="40"/>
      <c r="J115" s="40">
        <v>10000</v>
      </c>
      <c r="K115" s="40"/>
      <c r="L115" s="40">
        <f t="shared" si="7"/>
        <v>11500</v>
      </c>
      <c r="M115" s="40">
        <v>0</v>
      </c>
      <c r="N115" s="40">
        <v>0</v>
      </c>
      <c r="O115" s="40">
        <v>1948</v>
      </c>
      <c r="P115" s="40">
        <f>O115</f>
        <v>1948</v>
      </c>
      <c r="Q115" s="40"/>
      <c r="R115" s="40"/>
      <c r="S115" s="40"/>
      <c r="T115" s="40"/>
      <c r="U115" s="40">
        <f t="shared" si="8"/>
        <v>1948</v>
      </c>
      <c r="V115" s="41">
        <f t="shared" si="11"/>
        <v>9552</v>
      </c>
      <c r="Y115" s="12"/>
    </row>
    <row r="116" spans="6:25" ht="15.75" x14ac:dyDescent="0.25">
      <c r="F116" s="42">
        <v>297</v>
      </c>
      <c r="G116" s="43" t="s">
        <v>181</v>
      </c>
      <c r="H116" s="40">
        <v>2500</v>
      </c>
      <c r="I116" s="40"/>
      <c r="J116" s="40"/>
      <c r="K116" s="40"/>
      <c r="L116" s="40">
        <f t="shared" si="7"/>
        <v>2500</v>
      </c>
      <c r="M116" s="40">
        <v>0</v>
      </c>
      <c r="N116" s="40">
        <v>0</v>
      </c>
      <c r="O116" s="40">
        <v>0</v>
      </c>
      <c r="P116" s="40"/>
      <c r="Q116" s="40"/>
      <c r="R116" s="40"/>
      <c r="S116" s="40"/>
      <c r="T116" s="40"/>
      <c r="U116" s="40">
        <f t="shared" si="8"/>
        <v>0</v>
      </c>
      <c r="V116" s="41">
        <f t="shared" si="11"/>
        <v>2500</v>
      </c>
      <c r="Y116" s="12"/>
    </row>
    <row r="117" spans="6:25" ht="15.75" x14ac:dyDescent="0.25">
      <c r="F117" s="42">
        <v>298</v>
      </c>
      <c r="G117" s="43" t="s">
        <v>182</v>
      </c>
      <c r="H117" s="40">
        <v>12500</v>
      </c>
      <c r="I117" s="40"/>
      <c r="J117" s="40"/>
      <c r="K117" s="40"/>
      <c r="L117" s="40">
        <f t="shared" si="7"/>
        <v>12500</v>
      </c>
      <c r="M117" s="40">
        <v>0</v>
      </c>
      <c r="N117" s="40">
        <v>872</v>
      </c>
      <c r="O117" s="40">
        <v>0</v>
      </c>
      <c r="P117" s="40">
        <f>N117</f>
        <v>872</v>
      </c>
      <c r="Q117" s="40"/>
      <c r="R117" s="40"/>
      <c r="S117" s="40"/>
      <c r="T117" s="40"/>
      <c r="U117" s="40">
        <f t="shared" si="8"/>
        <v>872</v>
      </c>
      <c r="V117" s="41">
        <f t="shared" si="11"/>
        <v>11628</v>
      </c>
      <c r="Y117" s="12"/>
    </row>
    <row r="118" spans="6:25" ht="15.75" x14ac:dyDescent="0.25">
      <c r="F118" s="42" t="s">
        <v>183</v>
      </c>
      <c r="G118" s="43" t="s">
        <v>184</v>
      </c>
      <c r="H118" s="40">
        <v>15000</v>
      </c>
      <c r="I118" s="40"/>
      <c r="J118" s="40"/>
      <c r="K118" s="40"/>
      <c r="L118" s="40">
        <f t="shared" si="7"/>
        <v>15000</v>
      </c>
      <c r="M118" s="40">
        <v>0</v>
      </c>
      <c r="N118" s="40">
        <v>4094.1</v>
      </c>
      <c r="O118" s="40">
        <v>2473.62</v>
      </c>
      <c r="P118" s="40">
        <f>N118+202.2</f>
        <v>4296.3</v>
      </c>
      <c r="Q118" s="40"/>
      <c r="R118" s="40">
        <f>2271.42</f>
        <v>2271.42</v>
      </c>
      <c r="S118" s="40"/>
      <c r="T118" s="40"/>
      <c r="U118" s="40">
        <f t="shared" si="8"/>
        <v>6567.7199999999993</v>
      </c>
      <c r="V118" s="41">
        <f t="shared" si="11"/>
        <v>8432.2800000000007</v>
      </c>
      <c r="Y118" s="12"/>
    </row>
    <row r="119" spans="6:25" ht="15.75" x14ac:dyDescent="0.25">
      <c r="F119" s="42"/>
      <c r="G119" s="39" t="s">
        <v>185</v>
      </c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1"/>
      <c r="Y119" s="12"/>
    </row>
    <row r="120" spans="6:25" ht="15.75" x14ac:dyDescent="0.25">
      <c r="F120" s="42" t="s">
        <v>186</v>
      </c>
      <c r="G120" s="43" t="s">
        <v>187</v>
      </c>
      <c r="H120" s="40">
        <v>125000</v>
      </c>
      <c r="I120" s="40"/>
      <c r="J120" s="40"/>
      <c r="K120" s="40"/>
      <c r="L120" s="40">
        <f t="shared" si="7"/>
        <v>125000</v>
      </c>
      <c r="M120" s="40">
        <v>0</v>
      </c>
      <c r="N120" s="40">
        <v>0</v>
      </c>
      <c r="O120" s="40">
        <v>0</v>
      </c>
      <c r="P120" s="40"/>
      <c r="Q120" s="40"/>
      <c r="R120" s="40"/>
      <c r="S120" s="40"/>
      <c r="T120" s="40"/>
      <c r="U120" s="40">
        <f t="shared" si="8"/>
        <v>0</v>
      </c>
      <c r="V120" s="41">
        <f t="shared" ref="V120:V127" si="12">+L120-U120</f>
        <v>125000</v>
      </c>
      <c r="Y120" s="12"/>
    </row>
    <row r="121" spans="6:25" ht="15.75" x14ac:dyDescent="0.25">
      <c r="F121" s="42">
        <v>323</v>
      </c>
      <c r="G121" s="43" t="s">
        <v>188</v>
      </c>
      <c r="H121" s="40">
        <v>10000</v>
      </c>
      <c r="I121" s="40"/>
      <c r="J121" s="40"/>
      <c r="K121" s="40"/>
      <c r="L121" s="40">
        <f t="shared" si="7"/>
        <v>10000</v>
      </c>
      <c r="M121" s="40">
        <v>0</v>
      </c>
      <c r="N121" s="40">
        <v>0</v>
      </c>
      <c r="O121" s="40">
        <v>0</v>
      </c>
      <c r="P121" s="40"/>
      <c r="Q121" s="40"/>
      <c r="R121" s="40"/>
      <c r="S121" s="40"/>
      <c r="T121" s="40"/>
      <c r="U121" s="40">
        <f t="shared" si="8"/>
        <v>0</v>
      </c>
      <c r="V121" s="41">
        <f t="shared" si="12"/>
        <v>10000</v>
      </c>
      <c r="Y121" s="12"/>
    </row>
    <row r="122" spans="6:25" ht="15.75" x14ac:dyDescent="0.25">
      <c r="F122" s="42" t="s">
        <v>189</v>
      </c>
      <c r="G122" s="43" t="s">
        <v>190</v>
      </c>
      <c r="H122" s="40">
        <v>402267.46</v>
      </c>
      <c r="I122" s="40"/>
      <c r="J122" s="40"/>
      <c r="K122" s="40"/>
      <c r="L122" s="40">
        <f t="shared" si="7"/>
        <v>402267.46</v>
      </c>
      <c r="M122" s="40">
        <v>0</v>
      </c>
      <c r="N122" s="40">
        <v>0</v>
      </c>
      <c r="O122" s="40">
        <v>0</v>
      </c>
      <c r="P122" s="40"/>
      <c r="Q122" s="40"/>
      <c r="R122" s="40"/>
      <c r="S122" s="40"/>
      <c r="T122" s="40"/>
      <c r="U122" s="40">
        <f t="shared" si="8"/>
        <v>0</v>
      </c>
      <c r="V122" s="41">
        <f t="shared" si="12"/>
        <v>402267.46</v>
      </c>
      <c r="Y122" s="12"/>
    </row>
    <row r="123" spans="6:25" ht="15.75" x14ac:dyDescent="0.25">
      <c r="F123" s="42">
        <v>325</v>
      </c>
      <c r="G123" s="43" t="s">
        <v>214</v>
      </c>
      <c r="H123" s="40">
        <v>431000</v>
      </c>
      <c r="I123" s="40"/>
      <c r="J123" s="40"/>
      <c r="K123" s="40"/>
      <c r="L123" s="40">
        <f t="shared" si="7"/>
        <v>431000</v>
      </c>
      <c r="M123" s="40">
        <v>0</v>
      </c>
      <c r="N123" s="40">
        <v>0</v>
      </c>
      <c r="O123" s="40">
        <v>0</v>
      </c>
      <c r="P123" s="40"/>
      <c r="Q123" s="40"/>
      <c r="R123" s="40"/>
      <c r="S123" s="40"/>
      <c r="T123" s="40"/>
      <c r="U123" s="40">
        <f t="shared" si="8"/>
        <v>0</v>
      </c>
      <c r="V123" s="41">
        <f t="shared" si="12"/>
        <v>431000</v>
      </c>
      <c r="Y123" s="12"/>
    </row>
    <row r="124" spans="6:25" ht="15.75" x14ac:dyDescent="0.25">
      <c r="F124" s="42">
        <v>326</v>
      </c>
      <c r="G124" s="43" t="s">
        <v>191</v>
      </c>
      <c r="H124" s="40">
        <v>1000</v>
      </c>
      <c r="I124" s="40"/>
      <c r="J124" s="40"/>
      <c r="K124" s="40"/>
      <c r="L124" s="40">
        <f t="shared" si="7"/>
        <v>1000</v>
      </c>
      <c r="M124" s="40">
        <v>0</v>
      </c>
      <c r="N124" s="40">
        <v>0</v>
      </c>
      <c r="O124" s="40">
        <v>0</v>
      </c>
      <c r="P124" s="40"/>
      <c r="Q124" s="40"/>
      <c r="R124" s="40"/>
      <c r="S124" s="40"/>
      <c r="T124" s="40"/>
      <c r="U124" s="40">
        <f t="shared" si="8"/>
        <v>0</v>
      </c>
      <c r="V124" s="41">
        <f t="shared" si="12"/>
        <v>1000</v>
      </c>
      <c r="Y124" s="12"/>
    </row>
    <row r="125" spans="6:25" ht="15.75" x14ac:dyDescent="0.25">
      <c r="F125" s="42">
        <v>329</v>
      </c>
      <c r="G125" s="43" t="s">
        <v>192</v>
      </c>
      <c r="H125" s="40">
        <v>105000</v>
      </c>
      <c r="I125" s="40"/>
      <c r="J125" s="40"/>
      <c r="K125" s="40"/>
      <c r="L125" s="40">
        <f t="shared" si="7"/>
        <v>105000</v>
      </c>
      <c r="M125" s="40">
        <v>0</v>
      </c>
      <c r="N125" s="40">
        <v>0</v>
      </c>
      <c r="O125" s="40">
        <v>0</v>
      </c>
      <c r="P125" s="40"/>
      <c r="Q125" s="40"/>
      <c r="R125" s="40"/>
      <c r="S125" s="40"/>
      <c r="T125" s="40"/>
      <c r="U125" s="40">
        <f t="shared" si="8"/>
        <v>0</v>
      </c>
      <c r="V125" s="41">
        <f t="shared" si="12"/>
        <v>105000</v>
      </c>
      <c r="Y125" s="12"/>
    </row>
    <row r="126" spans="6:25" ht="15.75" x14ac:dyDescent="0.25">
      <c r="F126" s="42">
        <v>328</v>
      </c>
      <c r="G126" s="43" t="s">
        <v>193</v>
      </c>
      <c r="H126" s="40">
        <v>2500</v>
      </c>
      <c r="I126" s="40"/>
      <c r="J126" s="40"/>
      <c r="K126" s="40"/>
      <c r="L126" s="40">
        <f t="shared" si="7"/>
        <v>2500</v>
      </c>
      <c r="M126" s="40">
        <v>0</v>
      </c>
      <c r="N126" s="40">
        <v>0</v>
      </c>
      <c r="O126" s="40">
        <v>0</v>
      </c>
      <c r="P126" s="40"/>
      <c r="Q126" s="40"/>
      <c r="R126" s="40"/>
      <c r="S126" s="40"/>
      <c r="T126" s="40"/>
      <c r="U126" s="40">
        <f t="shared" si="8"/>
        <v>0</v>
      </c>
      <c r="V126" s="41">
        <f t="shared" si="12"/>
        <v>2500</v>
      </c>
      <c r="Y126" s="12"/>
    </row>
    <row r="127" spans="6:25" ht="15.75" x14ac:dyDescent="0.25">
      <c r="F127" s="42" t="s">
        <v>194</v>
      </c>
      <c r="G127" s="43" t="s">
        <v>195</v>
      </c>
      <c r="H127" s="40">
        <v>0</v>
      </c>
      <c r="I127" s="40"/>
      <c r="J127" s="40"/>
      <c r="K127" s="40"/>
      <c r="L127" s="40">
        <f t="shared" si="7"/>
        <v>0</v>
      </c>
      <c r="M127" s="40">
        <v>0</v>
      </c>
      <c r="N127" s="40">
        <v>0</v>
      </c>
      <c r="O127" s="40">
        <v>0</v>
      </c>
      <c r="P127" s="40"/>
      <c r="Q127" s="40"/>
      <c r="R127" s="40"/>
      <c r="S127" s="40"/>
      <c r="T127" s="40"/>
      <c r="U127" s="40">
        <f t="shared" si="8"/>
        <v>0</v>
      </c>
      <c r="V127" s="41">
        <f t="shared" si="12"/>
        <v>0</v>
      </c>
      <c r="Y127" s="12"/>
    </row>
    <row r="128" spans="6:25" ht="15.75" x14ac:dyDescent="0.25">
      <c r="F128" s="42"/>
      <c r="G128" s="39" t="s">
        <v>196</v>
      </c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1"/>
      <c r="Y128" s="12"/>
    </row>
    <row r="129" spans="6:26" ht="15.75" x14ac:dyDescent="0.25">
      <c r="F129" s="42">
        <v>413</v>
      </c>
      <c r="G129" s="43" t="s">
        <v>197</v>
      </c>
      <c r="H129" s="40">
        <v>191627.94</v>
      </c>
      <c r="I129" s="40"/>
      <c r="J129" s="40"/>
      <c r="K129" s="40"/>
      <c r="L129" s="40">
        <f t="shared" si="7"/>
        <v>191627.94</v>
      </c>
      <c r="M129" s="40">
        <v>0</v>
      </c>
      <c r="N129" s="40">
        <v>0</v>
      </c>
      <c r="O129" s="40">
        <v>0</v>
      </c>
      <c r="P129" s="40"/>
      <c r="Q129" s="40"/>
      <c r="R129" s="40"/>
      <c r="S129" s="40"/>
      <c r="T129" s="40"/>
      <c r="U129" s="40">
        <f t="shared" si="8"/>
        <v>0</v>
      </c>
      <c r="V129" s="41">
        <f>+L129-U129</f>
        <v>191627.94</v>
      </c>
      <c r="Y129" s="12"/>
    </row>
    <row r="130" spans="6:26" ht="15.75" x14ac:dyDescent="0.25">
      <c r="F130" s="42">
        <v>416</v>
      </c>
      <c r="G130" s="43" t="s">
        <v>198</v>
      </c>
      <c r="H130" s="40"/>
      <c r="I130" s="40"/>
      <c r="J130" s="40"/>
      <c r="K130" s="40"/>
      <c r="L130" s="40">
        <f t="shared" si="7"/>
        <v>0</v>
      </c>
      <c r="M130" s="40">
        <v>0</v>
      </c>
      <c r="N130" s="40">
        <v>0</v>
      </c>
      <c r="O130" s="40">
        <v>0</v>
      </c>
      <c r="P130" s="40"/>
      <c r="Q130" s="40"/>
      <c r="R130" s="40"/>
      <c r="S130" s="40"/>
      <c r="T130" s="40"/>
      <c r="U130" s="40">
        <f t="shared" si="8"/>
        <v>0</v>
      </c>
      <c r="V130" s="41">
        <f>+L130-U130</f>
        <v>0</v>
      </c>
      <c r="Y130" s="12"/>
    </row>
    <row r="131" spans="6:26" ht="15.75" x14ac:dyDescent="0.25">
      <c r="F131" s="42">
        <v>419</v>
      </c>
      <c r="G131" s="43" t="s">
        <v>199</v>
      </c>
      <c r="H131" s="40">
        <v>80996.25</v>
      </c>
      <c r="I131" s="40"/>
      <c r="J131" s="40"/>
      <c r="K131" s="40"/>
      <c r="L131" s="40">
        <f t="shared" si="7"/>
        <v>80996.25</v>
      </c>
      <c r="M131" s="40">
        <v>0</v>
      </c>
      <c r="N131" s="40">
        <v>0</v>
      </c>
      <c r="O131" s="40">
        <v>4500</v>
      </c>
      <c r="P131" s="40"/>
      <c r="Q131" s="40">
        <f>O131</f>
        <v>4500</v>
      </c>
      <c r="R131" s="40"/>
      <c r="S131" s="40"/>
      <c r="T131" s="40"/>
      <c r="U131" s="40">
        <f t="shared" si="8"/>
        <v>4500</v>
      </c>
      <c r="V131" s="41">
        <f>+L131-U131</f>
        <v>76496.25</v>
      </c>
      <c r="Y131" s="12"/>
    </row>
    <row r="132" spans="6:26" ht="15.75" x14ac:dyDescent="0.25">
      <c r="F132" s="42">
        <v>472</v>
      </c>
      <c r="G132" s="43" t="s">
        <v>200</v>
      </c>
      <c r="H132" s="40">
        <v>490703.59</v>
      </c>
      <c r="I132" s="40"/>
      <c r="J132" s="40"/>
      <c r="K132" s="40"/>
      <c r="L132" s="40">
        <f>H132+I132+J132-K132</f>
        <v>490703.59</v>
      </c>
      <c r="M132" s="40">
        <v>0</v>
      </c>
      <c r="N132" s="40">
        <v>0</v>
      </c>
      <c r="O132" s="40">
        <v>229897.31</v>
      </c>
      <c r="P132" s="40"/>
      <c r="Q132" s="40">
        <f>O132</f>
        <v>229897.31</v>
      </c>
      <c r="R132" s="40"/>
      <c r="S132" s="40"/>
      <c r="T132" s="40"/>
      <c r="U132" s="40">
        <f t="shared" si="8"/>
        <v>229897.31</v>
      </c>
      <c r="V132" s="41">
        <f>+L132-U132</f>
        <v>260806.28000000003</v>
      </c>
      <c r="Y132" s="12"/>
    </row>
    <row r="133" spans="6:26" ht="15.75" x14ac:dyDescent="0.25">
      <c r="F133" s="42"/>
      <c r="G133" s="39" t="s">
        <v>201</v>
      </c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T133" s="40"/>
      <c r="U133" s="40"/>
      <c r="V133" s="41"/>
      <c r="Y133" s="12"/>
    </row>
    <row r="134" spans="6:26" ht="15.75" x14ac:dyDescent="0.25">
      <c r="F134" s="42">
        <v>991</v>
      </c>
      <c r="G134" s="43" t="s">
        <v>202</v>
      </c>
      <c r="H134" s="40">
        <v>12976336.9</v>
      </c>
      <c r="I134" s="40"/>
      <c r="J134" s="40"/>
      <c r="K134" s="40">
        <f>J102+J95+15000+20000+15000+100000+10000+10000</f>
        <v>187624</v>
      </c>
      <c r="L134" s="40">
        <f t="shared" si="7"/>
        <v>12788712.9</v>
      </c>
      <c r="M134" s="40">
        <v>0</v>
      </c>
      <c r="N134" s="40">
        <v>0</v>
      </c>
      <c r="O134" s="40">
        <v>0</v>
      </c>
      <c r="P134" s="40"/>
      <c r="Q134" s="40"/>
      <c r="R134" s="40"/>
      <c r="S134" s="40"/>
      <c r="T134" s="40"/>
      <c r="U134" s="40">
        <f t="shared" si="8"/>
        <v>0</v>
      </c>
      <c r="V134" s="41">
        <f>+L134-U134</f>
        <v>12788712.9</v>
      </c>
      <c r="Y134" s="12"/>
    </row>
    <row r="135" spans="6:26" ht="15.75" x14ac:dyDescent="0.25">
      <c r="F135" s="42"/>
      <c r="G135" s="67" t="s">
        <v>203</v>
      </c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1"/>
      <c r="Y135" s="12"/>
    </row>
    <row r="136" spans="6:26" ht="15.75" x14ac:dyDescent="0.25">
      <c r="F136" s="42"/>
      <c r="G136" s="68" t="s">
        <v>204</v>
      </c>
      <c r="H136" s="40">
        <v>0</v>
      </c>
      <c r="I136" s="40"/>
      <c r="J136" s="40"/>
      <c r="K136" s="40"/>
      <c r="L136" s="40">
        <f t="shared" si="7"/>
        <v>0</v>
      </c>
      <c r="M136" s="40">
        <v>530.88</v>
      </c>
      <c r="N136" s="40">
        <v>584.64</v>
      </c>
      <c r="O136" s="40">
        <v>584.64</v>
      </c>
      <c r="P136" s="40">
        <f>530.88+584.64+584.64</f>
        <v>1700.1599999999999</v>
      </c>
      <c r="Q136" s="40"/>
      <c r="R136" s="40"/>
      <c r="S136" s="40"/>
      <c r="T136" s="40"/>
      <c r="U136" s="40">
        <f t="shared" si="8"/>
        <v>1700.1599999999999</v>
      </c>
      <c r="V136" s="41">
        <f t="shared" ref="V136:V141" si="13">+L136-U136</f>
        <v>-1700.1599999999999</v>
      </c>
      <c r="Y136" s="12"/>
    </row>
    <row r="137" spans="6:26" ht="15.75" x14ac:dyDescent="0.25">
      <c r="F137" s="42"/>
      <c r="G137" s="69" t="s">
        <v>205</v>
      </c>
      <c r="H137" s="40">
        <v>0</v>
      </c>
      <c r="I137" s="40"/>
      <c r="J137" s="40"/>
      <c r="K137" s="40"/>
      <c r="L137" s="40">
        <f t="shared" si="7"/>
        <v>0</v>
      </c>
      <c r="M137" s="40">
        <v>21797.38</v>
      </c>
      <c r="N137" s="40">
        <v>267.86</v>
      </c>
      <c r="O137" s="40">
        <v>3047.02</v>
      </c>
      <c r="P137" s="40">
        <f>21797.38+267.86+3047.02</f>
        <v>25112.260000000002</v>
      </c>
      <c r="Q137" s="40"/>
      <c r="R137" s="40"/>
      <c r="S137" s="40"/>
      <c r="T137" s="40"/>
      <c r="U137" s="40">
        <f t="shared" si="8"/>
        <v>25112.260000000002</v>
      </c>
      <c r="V137" s="41">
        <f t="shared" si="13"/>
        <v>-25112.260000000002</v>
      </c>
      <c r="Y137" s="12"/>
    </row>
    <row r="138" spans="6:26" ht="15.75" x14ac:dyDescent="0.25">
      <c r="F138" s="42"/>
      <c r="G138" s="69" t="s">
        <v>206</v>
      </c>
      <c r="H138" s="40">
        <v>0</v>
      </c>
      <c r="I138" s="40"/>
      <c r="J138" s="40"/>
      <c r="K138" s="40"/>
      <c r="L138" s="40">
        <f t="shared" si="7"/>
        <v>0</v>
      </c>
      <c r="M138" s="40">
        <v>2777.25</v>
      </c>
      <c r="N138" s="40">
        <v>3260.25</v>
      </c>
      <c r="O138" s="40">
        <v>3260.25</v>
      </c>
      <c r="P138" s="40">
        <f>2294.25+2753.1+2753.1</f>
        <v>7800.4500000000007</v>
      </c>
      <c r="Q138" s="40"/>
      <c r="R138" s="40">
        <f>483+507.15+507.15</f>
        <v>1497.3</v>
      </c>
      <c r="S138" s="40"/>
      <c r="T138" s="40"/>
      <c r="U138" s="40">
        <f t="shared" si="8"/>
        <v>9297.75</v>
      </c>
      <c r="V138" s="41">
        <f t="shared" si="13"/>
        <v>-9297.75</v>
      </c>
      <c r="Y138" s="12"/>
    </row>
    <row r="139" spans="6:26" ht="15.75" x14ac:dyDescent="0.25">
      <c r="F139" s="53"/>
      <c r="G139" s="70" t="s">
        <v>207</v>
      </c>
      <c r="H139" s="55">
        <v>0</v>
      </c>
      <c r="I139" s="55"/>
      <c r="J139" s="55"/>
      <c r="K139" s="55"/>
      <c r="L139" s="55">
        <f t="shared" si="7"/>
        <v>0</v>
      </c>
      <c r="M139" s="55">
        <v>0</v>
      </c>
      <c r="N139" s="55">
        <v>0</v>
      </c>
      <c r="O139" s="55">
        <v>0</v>
      </c>
      <c r="P139" s="71"/>
      <c r="Q139" s="55"/>
      <c r="R139" s="71"/>
      <c r="S139" s="55"/>
      <c r="T139" s="55"/>
      <c r="U139" s="40">
        <f t="shared" ref="U139:U140" si="14">SUM(M139:O139)</f>
        <v>0</v>
      </c>
      <c r="V139" s="41">
        <f t="shared" si="13"/>
        <v>0</v>
      </c>
      <c r="Y139" s="12"/>
    </row>
    <row r="140" spans="6:26" ht="15.75" x14ac:dyDescent="0.25">
      <c r="F140" s="53"/>
      <c r="G140" s="70" t="s">
        <v>208</v>
      </c>
      <c r="H140" s="55">
        <v>0</v>
      </c>
      <c r="I140" s="55"/>
      <c r="J140" s="55"/>
      <c r="K140" s="55"/>
      <c r="L140" s="55">
        <f t="shared" si="7"/>
        <v>0</v>
      </c>
      <c r="M140" s="55">
        <v>0</v>
      </c>
      <c r="N140" s="55">
        <v>0</v>
      </c>
      <c r="O140" s="55">
        <v>0</v>
      </c>
      <c r="P140" s="71"/>
      <c r="Q140" s="55"/>
      <c r="R140" s="71"/>
      <c r="S140" s="55"/>
      <c r="T140" s="55"/>
      <c r="U140" s="40">
        <f t="shared" si="14"/>
        <v>0</v>
      </c>
      <c r="V140" s="41">
        <f t="shared" si="13"/>
        <v>0</v>
      </c>
      <c r="Y140" s="12"/>
    </row>
    <row r="141" spans="6:26" ht="16.5" thickBot="1" x14ac:dyDescent="0.3">
      <c r="F141" s="93"/>
      <c r="G141" s="94" t="s">
        <v>209</v>
      </c>
      <c r="H141" s="58">
        <f>SUM(H71:H134)</f>
        <v>22842308.399999999</v>
      </c>
      <c r="I141" s="58">
        <f>SUM(I71:I139)</f>
        <v>0</v>
      </c>
      <c r="J141" s="58">
        <f>SUM(J71:J140)</f>
        <v>187624</v>
      </c>
      <c r="K141" s="58">
        <f>SUM(K71:K138)</f>
        <v>187624</v>
      </c>
      <c r="L141" s="58">
        <f t="shared" ref="L141:M141" si="15">SUM(L71:L140)</f>
        <v>22842308.399999999</v>
      </c>
      <c r="M141" s="58">
        <f t="shared" si="15"/>
        <v>221838.67</v>
      </c>
      <c r="N141" s="58">
        <f>SUM(N71:N140)</f>
        <v>346747.44999999995</v>
      </c>
      <c r="O141" s="58">
        <f>SUM(O71:O140)</f>
        <v>736620.36</v>
      </c>
      <c r="P141" s="95">
        <f>SUM(P71:P140)</f>
        <v>318640</v>
      </c>
      <c r="Q141" s="58">
        <f>SUM(Q71:Q139)</f>
        <v>480208.66000000003</v>
      </c>
      <c r="R141" s="95">
        <f>SUM(R71:R140)</f>
        <v>422350.90999999992</v>
      </c>
      <c r="S141" s="58">
        <f>SUM(S71:S140)</f>
        <v>14406.91</v>
      </c>
      <c r="T141" s="58">
        <f>SUM(T71:T140)</f>
        <v>69600</v>
      </c>
      <c r="U141" s="58">
        <f>SUM(U71:U140)</f>
        <v>1305206.48</v>
      </c>
      <c r="V141" s="59">
        <f t="shared" si="13"/>
        <v>21537101.919999998</v>
      </c>
      <c r="Y141" s="12"/>
    </row>
    <row r="142" spans="6:26" ht="15.75" x14ac:dyDescent="0.25">
      <c r="F142" s="30"/>
      <c r="G142" s="30"/>
      <c r="H142" s="30"/>
      <c r="I142" s="30"/>
      <c r="J142" s="30"/>
      <c r="K142" s="30"/>
      <c r="L142" s="72"/>
      <c r="M142" s="73"/>
      <c r="N142" s="73"/>
      <c r="O142" s="73"/>
      <c r="P142" s="83"/>
      <c r="Q142" s="83"/>
      <c r="R142" s="83"/>
      <c r="S142" s="83"/>
      <c r="T142" s="83"/>
      <c r="U142" s="83"/>
      <c r="V142" s="74"/>
      <c r="W142" s="75"/>
      <c r="X142" s="75"/>
      <c r="Y142" s="75"/>
      <c r="Z142" s="81"/>
    </row>
    <row r="143" spans="6:26" ht="15.75" x14ac:dyDescent="0.25">
      <c r="F143" s="30"/>
      <c r="G143" s="30"/>
      <c r="H143" s="12"/>
      <c r="I143" s="77">
        <f>H141+I141</f>
        <v>22842308.399999999</v>
      </c>
      <c r="J143" s="77"/>
      <c r="K143" s="77"/>
      <c r="L143" s="78"/>
      <c r="M143" s="79"/>
      <c r="N143" s="79"/>
      <c r="O143" s="79"/>
      <c r="P143" s="105"/>
      <c r="Q143" s="105"/>
      <c r="R143" s="106"/>
      <c r="S143" s="106"/>
      <c r="T143" s="106"/>
      <c r="U143" s="105"/>
      <c r="V143" s="107"/>
      <c r="W143" s="108"/>
      <c r="X143" s="75"/>
      <c r="Y143" s="75"/>
      <c r="Z143" s="81"/>
    </row>
    <row r="144" spans="6:26" ht="15.75" x14ac:dyDescent="0.25">
      <c r="F144" s="30"/>
      <c r="G144" s="30"/>
      <c r="H144" s="12"/>
      <c r="I144" s="77"/>
      <c r="J144" s="77"/>
      <c r="K144" s="77"/>
      <c r="L144" s="78"/>
      <c r="M144" s="82"/>
      <c r="N144" s="82"/>
      <c r="O144" s="82"/>
      <c r="P144" s="105"/>
      <c r="Q144" s="105"/>
      <c r="R144" s="105"/>
      <c r="S144" s="109"/>
      <c r="T144" s="105"/>
      <c r="U144" s="106"/>
      <c r="V144" s="107"/>
      <c r="W144" s="110"/>
      <c r="X144" s="75"/>
      <c r="Y144" s="75"/>
      <c r="Z144" s="75"/>
    </row>
    <row r="145" spans="6:26" ht="15.75" x14ac:dyDescent="0.25">
      <c r="F145" s="30"/>
      <c r="G145" s="30"/>
      <c r="H145" s="12"/>
      <c r="I145" s="60"/>
      <c r="J145" s="12"/>
      <c r="K145" s="84"/>
      <c r="L145" s="82"/>
      <c r="M145" s="79"/>
      <c r="N145" s="79"/>
      <c r="O145" s="79"/>
      <c r="P145" s="105"/>
      <c r="Q145" s="105"/>
      <c r="R145" s="105"/>
      <c r="S145" s="105"/>
      <c r="T145" s="106"/>
      <c r="U145" s="105"/>
      <c r="V145" s="111"/>
      <c r="W145" s="110"/>
      <c r="X145" s="75"/>
      <c r="Y145" s="75"/>
      <c r="Z145" s="75"/>
    </row>
    <row r="146" spans="6:26" ht="15.75" x14ac:dyDescent="0.25">
      <c r="F146" s="30"/>
      <c r="G146" s="30"/>
      <c r="I146" s="77"/>
      <c r="J146" s="84"/>
      <c r="K146" s="76"/>
      <c r="L146" s="82"/>
      <c r="M146" s="82"/>
      <c r="N146" s="82"/>
      <c r="O146" s="82"/>
      <c r="P146" s="106"/>
      <c r="Q146" s="105"/>
      <c r="R146" s="105"/>
      <c r="S146" s="105"/>
      <c r="T146" s="105"/>
      <c r="U146" s="105"/>
      <c r="V146" s="111"/>
      <c r="W146" s="108"/>
      <c r="X146" s="75"/>
      <c r="Y146" s="75"/>
      <c r="Z146" s="75"/>
    </row>
    <row r="147" spans="6:26" ht="15.75" x14ac:dyDescent="0.25">
      <c r="F147" s="30"/>
      <c r="G147" s="30"/>
      <c r="H147" s="86"/>
      <c r="I147" s="60"/>
      <c r="J147" s="87"/>
      <c r="K147" s="76"/>
      <c r="L147" s="147"/>
      <c r="M147" s="147"/>
      <c r="N147" s="97"/>
      <c r="O147" s="97"/>
      <c r="P147" s="105"/>
      <c r="Q147" s="88"/>
      <c r="R147" s="88"/>
      <c r="S147" s="88"/>
      <c r="T147" s="88"/>
      <c r="U147" s="109"/>
      <c r="V147" s="112"/>
      <c r="W147" s="110"/>
      <c r="X147" s="81"/>
      <c r="Y147" s="75"/>
      <c r="Z147" s="75"/>
    </row>
    <row r="148" spans="6:26" ht="15.75" x14ac:dyDescent="0.25">
      <c r="F148" s="30"/>
      <c r="G148" s="4"/>
      <c r="H148" s="86"/>
      <c r="I148" s="84"/>
      <c r="J148" s="87"/>
      <c r="K148" s="60"/>
      <c r="L148" s="140"/>
      <c r="M148" s="140"/>
      <c r="N148" s="98"/>
      <c r="O148" s="98"/>
      <c r="P148" s="113"/>
      <c r="Q148" s="113"/>
      <c r="R148" s="105"/>
      <c r="S148" s="105"/>
      <c r="T148" s="105"/>
      <c r="U148" s="105"/>
      <c r="V148" s="111"/>
      <c r="W148" s="114"/>
      <c r="X148" s="74"/>
      <c r="Y148" s="75"/>
      <c r="Z148" s="75"/>
    </row>
    <row r="149" spans="6:26" ht="15.75" x14ac:dyDescent="0.25">
      <c r="H149" s="75"/>
      <c r="I149" s="81"/>
      <c r="J149" s="75"/>
      <c r="K149" s="84"/>
      <c r="L149" s="82"/>
      <c r="M149" s="82"/>
      <c r="N149" s="82"/>
      <c r="O149" s="82"/>
      <c r="P149" s="105"/>
      <c r="Q149" s="105"/>
      <c r="R149" s="105"/>
      <c r="S149" s="105"/>
      <c r="T149" s="105"/>
      <c r="U149" s="105"/>
      <c r="V149" s="107"/>
      <c r="W149" s="20"/>
      <c r="X149" s="85"/>
      <c r="Y149" s="75"/>
      <c r="Z149" s="75"/>
    </row>
    <row r="150" spans="6:26" x14ac:dyDescent="0.25">
      <c r="H150" s="76"/>
      <c r="I150" s="77"/>
      <c r="J150" s="76"/>
      <c r="K150" s="76"/>
      <c r="L150" s="115"/>
      <c r="M150" s="115"/>
      <c r="N150" s="115"/>
      <c r="O150" s="115"/>
      <c r="P150" s="106"/>
      <c r="Q150" s="106"/>
      <c r="R150" s="106"/>
      <c r="S150" s="106"/>
      <c r="T150" s="106"/>
      <c r="U150" s="106"/>
      <c r="V150" s="116"/>
      <c r="W150" s="108"/>
      <c r="X150" s="75"/>
      <c r="Y150" s="75"/>
      <c r="Z150" s="75"/>
    </row>
    <row r="151" spans="6:26" ht="15.75" x14ac:dyDescent="0.25">
      <c r="H151" s="76"/>
      <c r="I151" s="77"/>
      <c r="J151" s="84"/>
      <c r="K151" s="84"/>
      <c r="L151" s="117"/>
      <c r="M151" s="117"/>
      <c r="N151" s="117"/>
      <c r="O151" s="117"/>
      <c r="P151" s="118"/>
      <c r="Q151" s="118"/>
      <c r="R151" s="119"/>
      <c r="S151" s="119"/>
      <c r="T151" s="119"/>
      <c r="U151" s="118"/>
      <c r="V151" s="107"/>
      <c r="W151" s="20"/>
      <c r="X151" s="74"/>
      <c r="Y151" s="74"/>
      <c r="Z151" s="74"/>
    </row>
    <row r="152" spans="6:26" x14ac:dyDescent="0.25">
      <c r="H152" s="76"/>
      <c r="I152" s="77"/>
      <c r="J152" s="76"/>
      <c r="K152" s="76"/>
      <c r="L152" s="115"/>
      <c r="M152" s="115"/>
      <c r="N152" s="115"/>
      <c r="O152" s="115"/>
      <c r="P152" s="120"/>
      <c r="Q152" s="119"/>
      <c r="R152" s="119"/>
      <c r="S152" s="119"/>
      <c r="T152" s="119"/>
      <c r="U152" s="119"/>
      <c r="V152" s="112"/>
      <c r="W152" s="108"/>
      <c r="X152" s="75"/>
      <c r="Y152" s="75"/>
      <c r="Z152" s="75"/>
    </row>
    <row r="153" spans="6:26" x14ac:dyDescent="0.25">
      <c r="H153" s="76"/>
      <c r="I153" s="76"/>
      <c r="J153" s="76"/>
      <c r="K153" s="76"/>
      <c r="L153" s="115"/>
      <c r="M153" s="115"/>
      <c r="N153" s="115"/>
      <c r="O153" s="115"/>
      <c r="P153" s="119"/>
      <c r="Q153" s="119"/>
      <c r="R153" s="119"/>
      <c r="S153" s="119"/>
      <c r="T153" s="119"/>
      <c r="U153" s="119"/>
      <c r="V153" s="112"/>
      <c r="W153" s="108"/>
      <c r="X153" s="75"/>
      <c r="Y153" s="75"/>
      <c r="Z153" s="75"/>
    </row>
    <row r="154" spans="6:26" x14ac:dyDescent="0.25">
      <c r="H154" s="76"/>
      <c r="I154" s="76"/>
      <c r="J154" s="77"/>
      <c r="K154" s="76"/>
      <c r="L154" s="80"/>
      <c r="M154" s="115"/>
      <c r="N154" s="115"/>
      <c r="O154" s="115"/>
      <c r="P154" s="119"/>
      <c r="Q154" s="121"/>
      <c r="R154" s="121"/>
      <c r="S154" s="121"/>
      <c r="T154" s="121"/>
      <c r="U154" s="119"/>
      <c r="V154" s="112"/>
      <c r="W154" s="108"/>
      <c r="X154" s="75"/>
      <c r="Y154" s="75"/>
      <c r="Z154" s="75"/>
    </row>
    <row r="155" spans="6:26" x14ac:dyDescent="0.25">
      <c r="H155" s="76"/>
      <c r="I155" s="77"/>
      <c r="J155" s="76"/>
      <c r="K155" s="89"/>
      <c r="L155" s="115"/>
      <c r="M155" s="115"/>
      <c r="N155" s="115"/>
      <c r="O155" s="115"/>
      <c r="P155" s="120"/>
      <c r="Q155" s="120"/>
      <c r="R155" s="120"/>
      <c r="S155" s="120"/>
      <c r="T155" s="122"/>
      <c r="U155" s="120"/>
      <c r="V155" s="112"/>
      <c r="W155" s="108"/>
      <c r="X155" s="75"/>
      <c r="Y155" s="75"/>
      <c r="Z155" s="75"/>
    </row>
    <row r="156" spans="6:26" x14ac:dyDescent="0.25">
      <c r="H156" s="77"/>
      <c r="I156" s="77"/>
      <c r="J156" s="76"/>
      <c r="K156" s="89"/>
      <c r="L156" s="115"/>
      <c r="M156" s="115"/>
      <c r="N156" s="115"/>
      <c r="O156" s="115"/>
      <c r="P156" s="119"/>
      <c r="Q156" s="119"/>
      <c r="R156" s="119"/>
      <c r="S156" s="119"/>
      <c r="T156" s="119"/>
      <c r="U156" s="120"/>
      <c r="V156" s="112"/>
      <c r="W156" s="108"/>
      <c r="X156" s="75"/>
      <c r="Y156" s="75"/>
      <c r="Z156" s="75"/>
    </row>
    <row r="157" spans="6:26" x14ac:dyDescent="0.25">
      <c r="H157" s="76"/>
      <c r="I157" s="76"/>
      <c r="J157" s="76"/>
      <c r="K157" s="89"/>
      <c r="L157" s="115"/>
      <c r="M157" s="115"/>
      <c r="N157" s="115"/>
      <c r="O157" s="115"/>
      <c r="P157" s="121"/>
      <c r="Q157" s="120"/>
      <c r="R157" s="120"/>
      <c r="S157" s="120"/>
      <c r="T157" s="122"/>
      <c r="U157" s="119"/>
      <c r="V157" s="112"/>
      <c r="W157" s="108"/>
      <c r="X157" s="75"/>
      <c r="Y157" s="75"/>
      <c r="Z157" s="75"/>
    </row>
    <row r="158" spans="6:26" x14ac:dyDescent="0.25">
      <c r="H158" s="77"/>
      <c r="I158" s="76"/>
      <c r="J158" s="76"/>
      <c r="K158" s="89"/>
      <c r="L158" s="115"/>
      <c r="M158" s="115"/>
      <c r="N158" s="115"/>
      <c r="O158" s="115"/>
      <c r="P158" s="119"/>
      <c r="Q158" s="119"/>
      <c r="R158" s="119"/>
      <c r="S158" s="119"/>
      <c r="T158" s="119"/>
      <c r="U158" s="119"/>
      <c r="V158" s="112"/>
      <c r="W158" s="108"/>
      <c r="X158" s="75"/>
      <c r="Y158" s="75"/>
      <c r="Z158" s="75"/>
    </row>
    <row r="159" spans="6:26" x14ac:dyDescent="0.25">
      <c r="H159" s="76"/>
      <c r="I159" s="76"/>
      <c r="J159" s="76"/>
      <c r="K159" s="89"/>
      <c r="L159" s="76"/>
      <c r="M159" s="76"/>
      <c r="N159" s="76"/>
      <c r="O159" s="76"/>
      <c r="P159" s="116"/>
      <c r="Q159" s="123"/>
      <c r="R159" s="123"/>
      <c r="S159" s="123"/>
      <c r="T159" s="123"/>
      <c r="U159" s="112"/>
      <c r="V159" s="112"/>
      <c r="W159" s="108"/>
      <c r="X159" s="75"/>
      <c r="Y159" s="75"/>
      <c r="Z159" s="75"/>
    </row>
    <row r="160" spans="6:26" x14ac:dyDescent="0.25">
      <c r="H160" s="76"/>
      <c r="I160" s="77"/>
      <c r="J160" s="76"/>
      <c r="K160" s="89"/>
      <c r="L160" s="76"/>
      <c r="M160" s="76"/>
      <c r="N160" s="76"/>
      <c r="O160" s="76"/>
      <c r="P160" s="112"/>
      <c r="Q160" s="112"/>
      <c r="R160" s="112"/>
      <c r="S160" s="112"/>
      <c r="T160" s="112"/>
      <c r="U160" s="112"/>
      <c r="V160" s="112"/>
      <c r="W160" s="108"/>
      <c r="X160" s="75"/>
      <c r="Y160" s="75"/>
      <c r="Z160" s="75"/>
    </row>
    <row r="161" spans="8:26" x14ac:dyDescent="0.25">
      <c r="H161" s="77"/>
      <c r="I161" s="77"/>
      <c r="J161" s="76"/>
      <c r="K161" s="89"/>
      <c r="L161" s="76"/>
      <c r="M161" s="76"/>
      <c r="N161" s="76"/>
      <c r="O161" s="76"/>
      <c r="P161" s="112"/>
      <c r="Q161" s="112"/>
      <c r="R161" s="112"/>
      <c r="S161" s="112"/>
      <c r="T161" s="112"/>
      <c r="U161" s="112"/>
      <c r="V161" s="112"/>
      <c r="W161" s="108"/>
      <c r="X161" s="75"/>
      <c r="Y161" s="75"/>
      <c r="Z161" s="75"/>
    </row>
    <row r="162" spans="8:26" x14ac:dyDescent="0.25">
      <c r="H162" s="77"/>
      <c r="I162" s="77"/>
      <c r="J162" s="76"/>
      <c r="K162" s="76"/>
      <c r="L162" s="76"/>
      <c r="M162" s="76"/>
      <c r="N162" s="76"/>
      <c r="O162" s="76"/>
      <c r="P162" s="123"/>
      <c r="Q162" s="112"/>
      <c r="R162" s="112"/>
      <c r="S162" s="112"/>
      <c r="T162" s="112"/>
      <c r="U162" s="112"/>
      <c r="V162" s="112"/>
      <c r="W162" s="108"/>
      <c r="X162" s="75"/>
      <c r="Y162" s="75"/>
      <c r="Z162" s="75"/>
    </row>
    <row r="163" spans="8:26" x14ac:dyDescent="0.25">
      <c r="H163" s="76"/>
      <c r="I163" s="77"/>
      <c r="J163" s="76"/>
      <c r="K163" s="76"/>
      <c r="L163" s="76"/>
      <c r="M163" s="76"/>
      <c r="N163" s="76"/>
      <c r="O163" s="76"/>
      <c r="P163" s="108"/>
      <c r="Q163" s="108"/>
      <c r="R163" s="108"/>
      <c r="S163" s="108"/>
      <c r="T163" s="108"/>
      <c r="U163" s="108"/>
      <c r="V163" s="108"/>
      <c r="W163" s="108"/>
      <c r="X163" s="75"/>
      <c r="Y163" s="75"/>
      <c r="Z163" s="75"/>
    </row>
    <row r="164" spans="8:26" x14ac:dyDescent="0.25">
      <c r="H164" s="77"/>
      <c r="I164" s="77"/>
      <c r="J164" s="76"/>
      <c r="K164" s="76"/>
      <c r="L164" s="76"/>
      <c r="M164" s="76"/>
      <c r="N164" s="76"/>
      <c r="O164" s="76"/>
      <c r="V164" s="75"/>
      <c r="W164" s="75"/>
      <c r="X164" s="75"/>
      <c r="Y164" s="75"/>
      <c r="Z164" s="75"/>
    </row>
    <row r="165" spans="8:26" x14ac:dyDescent="0.25">
      <c r="I165" s="77"/>
      <c r="J165" s="76"/>
      <c r="K165" s="76"/>
      <c r="V165" s="75"/>
      <c r="W165" s="75"/>
      <c r="X165" s="75"/>
      <c r="Y165" s="75"/>
      <c r="Z165" s="75"/>
    </row>
    <row r="166" spans="8:26" x14ac:dyDescent="0.25">
      <c r="X166" s="75"/>
      <c r="Y166" s="75"/>
      <c r="Z166" s="75"/>
    </row>
    <row r="167" spans="8:26" x14ac:dyDescent="0.25">
      <c r="X167" s="75"/>
      <c r="Y167" s="75"/>
      <c r="Z167" s="75"/>
    </row>
    <row r="168" spans="8:26" x14ac:dyDescent="0.25">
      <c r="X168" s="75"/>
      <c r="Y168" s="75"/>
      <c r="Z168" s="75"/>
    </row>
  </sheetData>
  <mergeCells count="11">
    <mergeCell ref="I3:S3"/>
    <mergeCell ref="I4:S4"/>
    <mergeCell ref="I5:S5"/>
    <mergeCell ref="I6:S6"/>
    <mergeCell ref="L7:P7"/>
    <mergeCell ref="L148:M148"/>
    <mergeCell ref="J12:K12"/>
    <mergeCell ref="P12:R12"/>
    <mergeCell ref="J69:K69"/>
    <mergeCell ref="P69:R69"/>
    <mergeCell ref="L147:M147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60" verticalDpi="360" r:id="rId1"/>
  <rowBreaks count="1" manualBreakCount="1">
    <brk id="66" max="21" man="1"/>
  </rowBreaks>
  <colBreaks count="1" manualBreakCount="1">
    <brk id="23" max="1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ingresos 2026</vt:lpstr>
      <vt:lpstr>egresos 2026</vt:lpstr>
      <vt:lpstr>'egresos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Recepcion 1</dc:creator>
  <cp:lastModifiedBy>Gerencia Raquetbol</cp:lastModifiedBy>
  <cp:lastPrinted>2026-05-04T23:02:15Z</cp:lastPrinted>
  <dcterms:created xsi:type="dcterms:W3CDTF">2023-02-07T15:49:47Z</dcterms:created>
  <dcterms:modified xsi:type="dcterms:W3CDTF">2026-05-04T23:02:37Z</dcterms:modified>
</cp:coreProperties>
</file>