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nye\OneDrive\Desktop\Informacion Publica 2025\Diciembre\"/>
    </mc:Choice>
  </mc:AlternateContent>
  <xr:revisionPtr revIDLastSave="0" documentId="8_{E528A2F5-2ABB-42BF-95E6-25DFD4EA8AEA}" xr6:coauthVersionLast="47" xr6:coauthVersionMax="47" xr10:uidLastSave="{00000000-0000-0000-0000-000000000000}"/>
  <bookViews>
    <workbookView xWindow="-120" yWindow="-120" windowWidth="29040" windowHeight="15720" activeTab="1" xr2:uid="{99DB84B3-533F-4A8D-B92D-6A706156A1CB}"/>
  </bookViews>
  <sheets>
    <sheet name="ingresos 2025" sheetId="4" r:id="rId1"/>
    <sheet name="egresos 2025" sheetId="2" r:id="rId2"/>
  </sheets>
  <externalReferences>
    <externalReference r:id="rId3"/>
    <externalReference r:id="rId4"/>
  </externalReferences>
  <definedNames>
    <definedName name="_xlnm.Print_Area" localSheetId="1">'egresos 2025'!$A$1:$AE$159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8" i="2" l="1"/>
  <c r="T138" i="2"/>
  <c r="S138" i="2"/>
  <c r="R138" i="2"/>
  <c r="Q138" i="2"/>
  <c r="P138" i="2"/>
  <c r="O138" i="2"/>
  <c r="N138" i="2"/>
  <c r="M138" i="2"/>
  <c r="AD137" i="2"/>
  <c r="AC137" i="2"/>
  <c r="L137" i="2"/>
  <c r="AE137" i="2" s="1"/>
  <c r="AD136" i="2"/>
  <c r="L136" i="2"/>
  <c r="AE136" i="2" s="1"/>
  <c r="AD135" i="2"/>
  <c r="AA135" i="2"/>
  <c r="Y135" i="2"/>
  <c r="L135" i="2"/>
  <c r="AE135" i="2" s="1"/>
  <c r="AD134" i="2"/>
  <c r="Y134" i="2"/>
  <c r="L134" i="2"/>
  <c r="AE134" i="2" s="1"/>
  <c r="AD133" i="2"/>
  <c r="Y133" i="2"/>
  <c r="L133" i="2"/>
  <c r="AE133" i="2" s="1"/>
  <c r="AD131" i="2"/>
  <c r="K131" i="2"/>
  <c r="L131" i="2" s="1"/>
  <c r="AE131" i="2" s="1"/>
  <c r="AD129" i="2"/>
  <c r="AA129" i="2"/>
  <c r="Z129" i="2"/>
  <c r="L129" i="2"/>
  <c r="AE129" i="2" s="1"/>
  <c r="AD128" i="2"/>
  <c r="AA128" i="2"/>
  <c r="Z128" i="2"/>
  <c r="L128" i="2"/>
  <c r="AE128" i="2" s="1"/>
  <c r="AD127" i="2"/>
  <c r="AE127" i="2" s="1"/>
  <c r="L127" i="2"/>
  <c r="AD126" i="2"/>
  <c r="L126" i="2"/>
  <c r="AE126" i="2" s="1"/>
  <c r="AD124" i="2"/>
  <c r="L124" i="2"/>
  <c r="AE124" i="2" s="1"/>
  <c r="AD123" i="2"/>
  <c r="Y123" i="2"/>
  <c r="L123" i="2"/>
  <c r="AE123" i="2" s="1"/>
  <c r="AD122" i="2"/>
  <c r="L122" i="2"/>
  <c r="AE122" i="2" s="1"/>
  <c r="AD121" i="2"/>
  <c r="L121" i="2"/>
  <c r="AE121" i="2" s="1"/>
  <c r="AD120" i="2"/>
  <c r="L120" i="2"/>
  <c r="AE120" i="2" s="1"/>
  <c r="AD119" i="2"/>
  <c r="AB119" i="2"/>
  <c r="AA119" i="2"/>
  <c r="L119" i="2"/>
  <c r="AE119" i="2" s="1"/>
  <c r="AD118" i="2"/>
  <c r="L118" i="2"/>
  <c r="AE118" i="2" s="1"/>
  <c r="AD117" i="2"/>
  <c r="L117" i="2"/>
  <c r="AE117" i="2" s="1"/>
  <c r="AD115" i="2"/>
  <c r="AA115" i="2"/>
  <c r="Z115" i="2"/>
  <c r="Y115" i="2"/>
  <c r="L115" i="2"/>
  <c r="AE115" i="2" s="1"/>
  <c r="AD114" i="2"/>
  <c r="AE114" i="2" s="1"/>
  <c r="AA114" i="2"/>
  <c r="Y114" i="2"/>
  <c r="L114" i="2"/>
  <c r="AD113" i="2"/>
  <c r="L113" i="2"/>
  <c r="AE113" i="2" s="1"/>
  <c r="AD112" i="2"/>
  <c r="Y112" i="2"/>
  <c r="L112" i="2"/>
  <c r="AE112" i="2" s="1"/>
  <c r="AD111" i="2"/>
  <c r="L111" i="2"/>
  <c r="AE111" i="2" s="1"/>
  <c r="AD110" i="2"/>
  <c r="AA110" i="2"/>
  <c r="Z110" i="2"/>
  <c r="L110" i="2"/>
  <c r="AE110" i="2" s="1"/>
  <c r="AD109" i="2"/>
  <c r="AE109" i="2" s="1"/>
  <c r="AA109" i="2"/>
  <c r="Z109" i="2"/>
  <c r="Y109" i="2"/>
  <c r="L109" i="2"/>
  <c r="AD108" i="2"/>
  <c r="L108" i="2"/>
  <c r="AE108" i="2" s="1"/>
  <c r="AD106" i="2"/>
  <c r="L106" i="2"/>
  <c r="AE106" i="2" s="1"/>
  <c r="AD105" i="2"/>
  <c r="L105" i="2"/>
  <c r="AE105" i="2" s="1"/>
  <c r="AD104" i="2"/>
  <c r="L104" i="2"/>
  <c r="AE104" i="2" s="1"/>
  <c r="AD103" i="2"/>
  <c r="L103" i="2"/>
  <c r="AE103" i="2" s="1"/>
  <c r="AD101" i="2"/>
  <c r="AE101" i="2" s="1"/>
  <c r="Z101" i="2"/>
  <c r="L101" i="2"/>
  <c r="AD100" i="2"/>
  <c r="L100" i="2"/>
  <c r="AE100" i="2" s="1"/>
  <c r="AD99" i="2"/>
  <c r="AA99" i="2"/>
  <c r="Z99" i="2"/>
  <c r="J99" i="2"/>
  <c r="L99" i="2" s="1"/>
  <c r="AE99" i="2" s="1"/>
  <c r="AD98" i="2"/>
  <c r="L98" i="2"/>
  <c r="AE98" i="2" s="1"/>
  <c r="AD97" i="2"/>
  <c r="Z97" i="2"/>
  <c r="L97" i="2"/>
  <c r="AE97" i="2" s="1"/>
  <c r="AD95" i="2"/>
  <c r="AE95" i="2" s="1"/>
  <c r="L95" i="2"/>
  <c r="AD94" i="2"/>
  <c r="Y94" i="2"/>
  <c r="J94" i="2"/>
  <c r="L94" i="2" s="1"/>
  <c r="AE94" i="2" s="1"/>
  <c r="AD93" i="2"/>
  <c r="L93" i="2"/>
  <c r="AE93" i="2" s="1"/>
  <c r="AD92" i="2"/>
  <c r="L92" i="2"/>
  <c r="AE92" i="2" s="1"/>
  <c r="AD91" i="2"/>
  <c r="L91" i="2"/>
  <c r="AE91" i="2" s="1"/>
  <c r="AD90" i="2"/>
  <c r="L90" i="2"/>
  <c r="AE90" i="2" s="1"/>
  <c r="AD89" i="2"/>
  <c r="AE89" i="2" s="1"/>
  <c r="AB89" i="2"/>
  <c r="AA89" i="2"/>
  <c r="Z89" i="2"/>
  <c r="Y89" i="2"/>
  <c r="L89" i="2"/>
  <c r="AD88" i="2"/>
  <c r="L88" i="2"/>
  <c r="AE88" i="2" s="1"/>
  <c r="AD87" i="2"/>
  <c r="AA87" i="2"/>
  <c r="Z87" i="2"/>
  <c r="Y87" i="2"/>
  <c r="L87" i="2"/>
  <c r="AE87" i="2" s="1"/>
  <c r="AD84" i="2"/>
  <c r="AA84" i="2"/>
  <c r="Z84" i="2"/>
  <c r="Y84" i="2"/>
  <c r="L84" i="2"/>
  <c r="AE84" i="2" s="1"/>
  <c r="AD83" i="2"/>
  <c r="AE83" i="2" s="1"/>
  <c r="AD82" i="2"/>
  <c r="AC82" i="2"/>
  <c r="AB82" i="2"/>
  <c r="AA82" i="2"/>
  <c r="Z82" i="2"/>
  <c r="L82" i="2"/>
  <c r="AE82" i="2" s="1"/>
  <c r="AD81" i="2"/>
  <c r="L81" i="2"/>
  <c r="AE81" i="2" s="1"/>
  <c r="AD80" i="2"/>
  <c r="L80" i="2"/>
  <c r="AE80" i="2" s="1"/>
  <c r="AD79" i="2"/>
  <c r="AB79" i="2"/>
  <c r="AA79" i="2"/>
  <c r="Z79" i="2"/>
  <c r="Y79" i="2"/>
  <c r="H79" i="2"/>
  <c r="L79" i="2" s="1"/>
  <c r="AE79" i="2" s="1"/>
  <c r="AD77" i="2"/>
  <c r="AB77" i="2"/>
  <c r="AA77" i="2"/>
  <c r="Z77" i="2"/>
  <c r="Y77" i="2"/>
  <c r="J77" i="2"/>
  <c r="I77" i="2"/>
  <c r="L77" i="2" s="1"/>
  <c r="AD76" i="2"/>
  <c r="L76" i="2"/>
  <c r="AE76" i="2" s="1"/>
  <c r="AD75" i="2"/>
  <c r="L75" i="2"/>
  <c r="AE75" i="2" s="1"/>
  <c r="AD74" i="2"/>
  <c r="AE74" i="2" s="1"/>
  <c r="L74" i="2"/>
  <c r="AD73" i="2"/>
  <c r="L73" i="2"/>
  <c r="AE73" i="2" s="1"/>
  <c r="AD72" i="2"/>
  <c r="L72" i="2"/>
  <c r="AE72" i="2" s="1"/>
  <c r="AD71" i="2"/>
  <c r="L71" i="2"/>
  <c r="AE71" i="2" s="1"/>
  <c r="AE68" i="2"/>
  <c r="AD68" i="2"/>
  <c r="AD138" i="2" s="1"/>
  <c r="AC68" i="2"/>
  <c r="AC138" i="2" s="1"/>
  <c r="AB68" i="2"/>
  <c r="AB138" i="2" s="1"/>
  <c r="AA68" i="2"/>
  <c r="AA138" i="2" s="1"/>
  <c r="Z68" i="2"/>
  <c r="Z138" i="2" s="1"/>
  <c r="Y68" i="2"/>
  <c r="Y138" i="2" s="1"/>
  <c r="X68" i="2"/>
  <c r="X138" i="2" s="1"/>
  <c r="W68" i="2"/>
  <c r="W138" i="2" s="1"/>
  <c r="V68" i="2"/>
  <c r="V138" i="2" s="1"/>
  <c r="U68" i="2"/>
  <c r="T68" i="2"/>
  <c r="S68" i="2"/>
  <c r="R68" i="2"/>
  <c r="Q68" i="2"/>
  <c r="P68" i="2"/>
  <c r="O68" i="2"/>
  <c r="N68" i="2"/>
  <c r="M68" i="2"/>
  <c r="L68" i="2"/>
  <c r="K68" i="2"/>
  <c r="K138" i="2" s="1"/>
  <c r="J68" i="2"/>
  <c r="J138" i="2" s="1"/>
  <c r="I68" i="2"/>
  <c r="I138" i="2" s="1"/>
  <c r="H68" i="2"/>
  <c r="H138" i="2" s="1"/>
  <c r="X62" i="2"/>
  <c r="W62" i="2"/>
  <c r="V62" i="2"/>
  <c r="U62" i="2"/>
  <c r="T62" i="2"/>
  <c r="S62" i="2"/>
  <c r="R62" i="2"/>
  <c r="Q62" i="2"/>
  <c r="P62" i="2"/>
  <c r="O62" i="2"/>
  <c r="N62" i="2"/>
  <c r="M62" i="2"/>
  <c r="K62" i="2"/>
  <c r="I62" i="2"/>
  <c r="AD61" i="2"/>
  <c r="L61" i="2"/>
  <c r="AE61" i="2" s="1"/>
  <c r="AD60" i="2"/>
  <c r="L60" i="2"/>
  <c r="AE60" i="2" s="1"/>
  <c r="AD59" i="2"/>
  <c r="L59" i="2"/>
  <c r="AE59" i="2" s="1"/>
  <c r="AD58" i="2"/>
  <c r="J58" i="2"/>
  <c r="L58" i="2" s="1"/>
  <c r="AE58" i="2" s="1"/>
  <c r="AD57" i="2"/>
  <c r="AE57" i="2" s="1"/>
  <c r="Y57" i="2"/>
  <c r="L57" i="2"/>
  <c r="AD56" i="2"/>
  <c r="L56" i="2"/>
  <c r="AE56" i="2" s="1"/>
  <c r="AD55" i="2"/>
  <c r="L55" i="2"/>
  <c r="AE55" i="2" s="1"/>
  <c r="AD54" i="2"/>
  <c r="L54" i="2"/>
  <c r="AE54" i="2" s="1"/>
  <c r="AD53" i="2"/>
  <c r="L53" i="2"/>
  <c r="AE53" i="2" s="1"/>
  <c r="AD50" i="2"/>
  <c r="Y50" i="2"/>
  <c r="J50" i="2"/>
  <c r="L50" i="2" s="1"/>
  <c r="AE50" i="2" s="1"/>
  <c r="AD49" i="2"/>
  <c r="AB49" i="2"/>
  <c r="AA49" i="2"/>
  <c r="Z49" i="2"/>
  <c r="H49" i="2"/>
  <c r="L49" i="2" s="1"/>
  <c r="AE49" i="2" s="1"/>
  <c r="AD48" i="2"/>
  <c r="L48" i="2"/>
  <c r="AE48" i="2" s="1"/>
  <c r="AD46" i="2"/>
  <c r="L46" i="2"/>
  <c r="AE46" i="2" s="1"/>
  <c r="AD45" i="2"/>
  <c r="L45" i="2"/>
  <c r="AE45" i="2" s="1"/>
  <c r="AD44" i="2"/>
  <c r="AE44" i="2" s="1"/>
  <c r="AB44" i="2"/>
  <c r="AA44" i="2"/>
  <c r="Z44" i="2"/>
  <c r="Y44" i="2"/>
  <c r="L44" i="2"/>
  <c r="H44" i="2"/>
  <c r="AD42" i="2"/>
  <c r="L42" i="2"/>
  <c r="AE42" i="2" s="1"/>
  <c r="AD41" i="2"/>
  <c r="L41" i="2"/>
  <c r="AE41" i="2" s="1"/>
  <c r="AD40" i="2"/>
  <c r="L40" i="2"/>
  <c r="AE40" i="2" s="1"/>
  <c r="AD39" i="2"/>
  <c r="AB39" i="2"/>
  <c r="AA39" i="2"/>
  <c r="Z39" i="2"/>
  <c r="Y39" i="2"/>
  <c r="H39" i="2"/>
  <c r="H62" i="2" s="1"/>
  <c r="AE37" i="2"/>
  <c r="AD37" i="2"/>
  <c r="L37" i="2"/>
  <c r="AD36" i="2"/>
  <c r="Z36" i="2"/>
  <c r="Y36" i="2"/>
  <c r="L36" i="2"/>
  <c r="AE36" i="2" s="1"/>
  <c r="AD33" i="2"/>
  <c r="L33" i="2"/>
  <c r="AE33" i="2" s="1"/>
  <c r="AD32" i="2"/>
  <c r="L32" i="2"/>
  <c r="AE32" i="2" s="1"/>
  <c r="AD31" i="2"/>
  <c r="AA31" i="2"/>
  <c r="Y31" i="2"/>
  <c r="L31" i="2"/>
  <c r="AE31" i="2" s="1"/>
  <c r="AD30" i="2"/>
  <c r="AE30" i="2" s="1"/>
  <c r="L30" i="2"/>
  <c r="AD27" i="2"/>
  <c r="AA27" i="2"/>
  <c r="L27" i="2"/>
  <c r="AE27" i="2" s="1"/>
  <c r="AD26" i="2"/>
  <c r="L26" i="2"/>
  <c r="AE26" i="2" s="1"/>
  <c r="AD25" i="2"/>
  <c r="AA25" i="2"/>
  <c r="L25" i="2"/>
  <c r="AE25" i="2" s="1"/>
  <c r="AD24" i="2"/>
  <c r="AA24" i="2"/>
  <c r="L24" i="2"/>
  <c r="AE24" i="2" s="1"/>
  <c r="AD23" i="2"/>
  <c r="AC23" i="2"/>
  <c r="L23" i="2"/>
  <c r="AE23" i="2" s="1"/>
  <c r="J23" i="2"/>
  <c r="J62" i="2" s="1"/>
  <c r="AD22" i="2"/>
  <c r="AC22" i="2"/>
  <c r="AC62" i="2" s="1"/>
  <c r="L22" i="2"/>
  <c r="AE22" i="2" s="1"/>
  <c r="AE21" i="2"/>
  <c r="AD21" i="2"/>
  <c r="L21" i="2"/>
  <c r="AD20" i="2"/>
  <c r="AA20" i="2"/>
  <c r="Y20" i="2"/>
  <c r="L20" i="2"/>
  <c r="AE20" i="2" s="1"/>
  <c r="AD19" i="2"/>
  <c r="AB19" i="2"/>
  <c r="AB62" i="2" s="1"/>
  <c r="AA19" i="2"/>
  <c r="Z19" i="2"/>
  <c r="Z62" i="2" s="1"/>
  <c r="Y19" i="2"/>
  <c r="L19" i="2"/>
  <c r="AE19" i="2" s="1"/>
  <c r="AD18" i="2"/>
  <c r="AE18" i="2" s="1"/>
  <c r="AD16" i="2"/>
  <c r="AA16" i="2"/>
  <c r="Y16" i="2"/>
  <c r="L16" i="2"/>
  <c r="AE16" i="2" s="1"/>
  <c r="AD15" i="2"/>
  <c r="Y15" i="2"/>
  <c r="L15" i="2"/>
  <c r="AE15" i="2" s="1"/>
  <c r="AD14" i="2"/>
  <c r="Y14" i="2"/>
  <c r="L14" i="2"/>
  <c r="AE14" i="2" s="1"/>
  <c r="AD13" i="2"/>
  <c r="AD62" i="2" s="1"/>
  <c r="AA13" i="2"/>
  <c r="AA62" i="2" s="1"/>
  <c r="Y13" i="2"/>
  <c r="Y62" i="2" s="1"/>
  <c r="L13" i="2"/>
  <c r="AE13" i="2" s="1"/>
  <c r="D32" i="4"/>
  <c r="D31" i="4"/>
  <c r="D30" i="4"/>
  <c r="O17" i="4"/>
  <c r="P17" i="4"/>
  <c r="N20" i="4"/>
  <c r="AE77" i="2" l="1"/>
  <c r="L138" i="2"/>
  <c r="AE138" i="2" s="1"/>
  <c r="L39" i="2"/>
  <c r="AE39" i="2" s="1"/>
  <c r="AE62" i="2" s="1"/>
  <c r="L62" i="2" l="1"/>
  <c r="M20" i="4"/>
  <c r="L20" i="4" l="1"/>
  <c r="K20" i="4" l="1"/>
  <c r="K26" i="4" s="1"/>
  <c r="O13" i="4"/>
  <c r="D33" i="4"/>
  <c r="D35" i="4" s="1"/>
  <c r="D37" i="4" s="1"/>
  <c r="D39" i="4" s="1"/>
  <c r="J30" i="4" s="1"/>
  <c r="J32" i="4" s="1"/>
  <c r="J34" i="4" s="1"/>
  <c r="J36" i="4" s="1"/>
  <c r="N26" i="4"/>
  <c r="M26" i="4"/>
  <c r="L26" i="4"/>
  <c r="J26" i="4"/>
  <c r="I26" i="4"/>
  <c r="H26" i="4"/>
  <c r="F26" i="4"/>
  <c r="E26" i="4"/>
  <c r="D26" i="4"/>
  <c r="C26" i="4"/>
  <c r="B22" i="4"/>
  <c r="B26" i="4" s="1"/>
  <c r="O20" i="4"/>
  <c r="J20" i="4"/>
  <c r="I20" i="4"/>
  <c r="H20" i="4"/>
  <c r="G20" i="4"/>
  <c r="G26" i="4" s="1"/>
  <c r="F20" i="4"/>
  <c r="E20" i="4"/>
  <c r="D20" i="4"/>
  <c r="C20" i="4"/>
  <c r="E19" i="4"/>
  <c r="O19" i="4" s="1"/>
  <c r="P19" i="4" s="1"/>
  <c r="P18" i="4"/>
  <c r="O18" i="4"/>
  <c r="P15" i="4"/>
  <c r="O15" i="4"/>
  <c r="O14" i="4"/>
  <c r="P13" i="4"/>
  <c r="O26" i="4" l="1"/>
  <c r="P14" i="4"/>
  <c r="P26" i="4" s="1"/>
  <c r="M67" i="2" l="1"/>
  <c r="I67" i="2"/>
  <c r="J159" i="2" l="1"/>
  <c r="I159" i="2"/>
  <c r="J158" i="2"/>
  <c r="I158" i="2"/>
  <c r="N140" i="2"/>
  <c r="N141" i="2" l="1"/>
  <c r="J148" i="2"/>
  <c r="I154" i="2" l="1"/>
  <c r="I155" i="2" l="1"/>
  <c r="I156" i="2" s="1"/>
</calcChain>
</file>

<file path=xl/sharedStrings.xml><?xml version="1.0" encoding="utf-8"?>
<sst xmlns="http://schemas.openxmlformats.org/spreadsheetml/2006/main" count="266" uniqueCount="233">
  <si>
    <t>(En Quetzales)</t>
  </si>
  <si>
    <t>MES</t>
  </si>
  <si>
    <t xml:space="preserve">Enero </t>
  </si>
  <si>
    <t>Febrero</t>
  </si>
  <si>
    <t xml:space="preserve">Marzo </t>
  </si>
  <si>
    <t xml:space="preserve">Abril </t>
  </si>
  <si>
    <t>Mayo</t>
  </si>
  <si>
    <t xml:space="preserve">Junio </t>
  </si>
  <si>
    <t xml:space="preserve">Julio </t>
  </si>
  <si>
    <t xml:space="preserve">Agosto </t>
  </si>
  <si>
    <t>Septiembre</t>
  </si>
  <si>
    <t xml:space="preserve">Octubre </t>
  </si>
  <si>
    <t>Noviembre</t>
  </si>
  <si>
    <t>Diciembre</t>
  </si>
  <si>
    <t xml:space="preserve">REINTEGROS </t>
  </si>
  <si>
    <t>CDAG</t>
  </si>
  <si>
    <t>COG</t>
  </si>
  <si>
    <t xml:space="preserve">INGRESO </t>
  </si>
  <si>
    <t>OTROS</t>
  </si>
  <si>
    <t>AJUSTES (+)</t>
  </si>
  <si>
    <t>AJUSTES (-)</t>
  </si>
  <si>
    <t>TOTAL</t>
  </si>
  <si>
    <t xml:space="preserve">  </t>
  </si>
  <si>
    <t>Resumen Ingresos</t>
  </si>
  <si>
    <t>Resumen General</t>
  </si>
  <si>
    <t>Ingresos</t>
  </si>
  <si>
    <t>Ingresos C.O.G.</t>
  </si>
  <si>
    <t>Total de Ingresos</t>
  </si>
  <si>
    <t>Ingresos C.D.A.G.</t>
  </si>
  <si>
    <t>(-) Total de Egresos</t>
  </si>
  <si>
    <t>Ingresos 63-A2 (Otros)</t>
  </si>
  <si>
    <t>(+) Ajustes N/C Cap. Interes</t>
  </si>
  <si>
    <t>Sub-Total</t>
  </si>
  <si>
    <t>(-)Ajustes Retencion IPF</t>
  </si>
  <si>
    <t>(-) Ajustes</t>
  </si>
  <si>
    <t>Total</t>
  </si>
  <si>
    <t>(+) Ajustes</t>
  </si>
  <si>
    <t xml:space="preserve"> </t>
  </si>
  <si>
    <t>Asociacion Nacional de Raquetbol de Guatemala</t>
  </si>
  <si>
    <t>EJECUCION PRESUPUESTARIA DE EGRESOS</t>
  </si>
  <si>
    <t>Art. 10 Numeral 8 Ley de Acceso a la Informacion Publica</t>
  </si>
  <si>
    <t>Modificaciones</t>
  </si>
  <si>
    <t>Fuente de Financiamiento 22</t>
  </si>
  <si>
    <t>Renglón</t>
  </si>
  <si>
    <t>Concepto</t>
  </si>
  <si>
    <t>Presupuesto Total</t>
  </si>
  <si>
    <t>Ampliacion de Presupuesto</t>
  </si>
  <si>
    <t>Debe</t>
  </si>
  <si>
    <t>Haber</t>
  </si>
  <si>
    <t>Presupuesto Vigente</t>
  </si>
  <si>
    <t>Enero</t>
  </si>
  <si>
    <t>Ejecutado</t>
  </si>
  <si>
    <t>Disponible</t>
  </si>
  <si>
    <t>SERVICIOS PERSONALES</t>
  </si>
  <si>
    <t xml:space="preserve">PERSONAL CON CARGOS FIJOS </t>
  </si>
  <si>
    <t>0 11</t>
  </si>
  <si>
    <t>Personal Permanente</t>
  </si>
  <si>
    <t>0 13</t>
  </si>
  <si>
    <t>Complemento por antigüedad</t>
  </si>
  <si>
    <t>0 14</t>
  </si>
  <si>
    <t xml:space="preserve">Complemento por calidad profesional </t>
  </si>
  <si>
    <t>0 15</t>
  </si>
  <si>
    <t xml:space="preserve">Complemento Espe.  Al personal permanente </t>
  </si>
  <si>
    <t>PERSONAL TEMPORAL</t>
  </si>
  <si>
    <t>0 29</t>
  </si>
  <si>
    <t>Otras Rem. Personal Temporal</t>
  </si>
  <si>
    <t>0 51</t>
  </si>
  <si>
    <t>Aporte patronal al  IGSS</t>
  </si>
  <si>
    <t>0 52</t>
  </si>
  <si>
    <t>Aportacion Patronal al INTECAP</t>
  </si>
  <si>
    <t>0 61</t>
  </si>
  <si>
    <t>Dietas</t>
  </si>
  <si>
    <t>0 63</t>
  </si>
  <si>
    <t>Gastos de Representación</t>
  </si>
  <si>
    <t>0 71</t>
  </si>
  <si>
    <t>Aguinaldo</t>
  </si>
  <si>
    <t>0 72</t>
  </si>
  <si>
    <t>Bono 14</t>
  </si>
  <si>
    <t>0 73</t>
  </si>
  <si>
    <t>Bono Vacacional</t>
  </si>
  <si>
    <t>0 79</t>
  </si>
  <si>
    <t>Otras Prestaciones</t>
  </si>
  <si>
    <t>SERVICIOS NO PERSONALES</t>
  </si>
  <si>
    <t>SERVICIOS BASICOS</t>
  </si>
  <si>
    <t xml:space="preserve">Energia electrica </t>
  </si>
  <si>
    <t>1 13</t>
  </si>
  <si>
    <t>Telefonía</t>
  </si>
  <si>
    <t xml:space="preserve">Correos y Telégrafos </t>
  </si>
  <si>
    <t xml:space="preserve">Servicios de Lavandaria </t>
  </si>
  <si>
    <t>PUBLICIDAD, IMPRESIÓN Y</t>
  </si>
  <si>
    <t>ENCUADERNACION</t>
  </si>
  <si>
    <t>Publicidad y Propaganda</t>
  </si>
  <si>
    <t>Impresión y Encuadernacion</t>
  </si>
  <si>
    <t>VIATICOS Y GASTOS CONEXOS</t>
  </si>
  <si>
    <t xml:space="preserve">1 31 </t>
  </si>
  <si>
    <t>Viáticos en el Exterior</t>
  </si>
  <si>
    <t>1 33</t>
  </si>
  <si>
    <t>Viáticos en el Interior</t>
  </si>
  <si>
    <t>Compensación por Km Recorrido</t>
  </si>
  <si>
    <t>Otros Viáticos y Gtos. Conexos</t>
  </si>
  <si>
    <t>TRANSPORTE Y ALMACENAJE</t>
  </si>
  <si>
    <t>1 41</t>
  </si>
  <si>
    <t>Transporte de Personas</t>
  </si>
  <si>
    <t>1 42</t>
  </si>
  <si>
    <t>Fletes</t>
  </si>
  <si>
    <t xml:space="preserve">Almacenaje </t>
  </si>
  <si>
    <t>ARRENDAMIENTOS Y DERECHOS</t>
  </si>
  <si>
    <t>1 51</t>
  </si>
  <si>
    <t>Arrendamiento de Edificios y Locales</t>
  </si>
  <si>
    <t>1 55</t>
  </si>
  <si>
    <t>Arrendamiento medios de Transporte</t>
  </si>
  <si>
    <t>Derechos de bienes intangibles</t>
  </si>
  <si>
    <t>MANTENIMIENTO Y REPARACION</t>
  </si>
  <si>
    <t>DE MAQUINARIA Y EQUIPO</t>
  </si>
  <si>
    <t>1 62</t>
  </si>
  <si>
    <t>Mantenimiento y Rep. Eq. de Oficina</t>
  </si>
  <si>
    <t>Mantenimiento y Rep. Eq. Edu. Y Recreativos</t>
  </si>
  <si>
    <t>Mant. y Rep. de Eq. de Transporte</t>
  </si>
  <si>
    <t xml:space="preserve">Mant. y Rep. de Eq.  Para Comunicaciones </t>
  </si>
  <si>
    <t>1 68</t>
  </si>
  <si>
    <t>Mant. y Rep. de Eq. de Cómputo</t>
  </si>
  <si>
    <t xml:space="preserve">Mant. y Rep. De otras maquinas y equipos </t>
  </si>
  <si>
    <t xml:space="preserve">Mantenimiento y rep de edificio </t>
  </si>
  <si>
    <t>Mantenimiento  de Instalaciones</t>
  </si>
  <si>
    <t xml:space="preserve">Mant. y Rep. De otras obras e instalaciónes </t>
  </si>
  <si>
    <t>van</t>
  </si>
  <si>
    <t>Presupuesto Total Vigente</t>
  </si>
  <si>
    <t>Vienen</t>
  </si>
  <si>
    <t>SERVICIOS TECNICOS</t>
  </si>
  <si>
    <t>Y PROFESIONALES</t>
  </si>
  <si>
    <t>Servicios Médico-Sanitarios</t>
  </si>
  <si>
    <t>1 83</t>
  </si>
  <si>
    <t>Servicios Jurídicos</t>
  </si>
  <si>
    <t xml:space="preserve">Servicios de Capacitacion </t>
  </si>
  <si>
    <t>Servicios de informatica</t>
  </si>
  <si>
    <t>Otros Servicios</t>
  </si>
  <si>
    <t>OTROS SERVICIOS NO PERSONALES</t>
  </si>
  <si>
    <t>1 91</t>
  </si>
  <si>
    <t>Primas y Gastos de Seguros y Fianzas</t>
  </si>
  <si>
    <t>Otras Comisiones y Gtos. Bancarios</t>
  </si>
  <si>
    <t>1 95</t>
  </si>
  <si>
    <t>Impuestos, Derechos y Tasas</t>
  </si>
  <si>
    <t>Servicios de Atenciòn y Protocolo</t>
  </si>
  <si>
    <t>Otros Servicios No Personales</t>
  </si>
  <si>
    <t>MATERIALES Y SUMINISTROS</t>
  </si>
  <si>
    <t>ALIMENTOS Y PROD. AGROP.</t>
  </si>
  <si>
    <t>2 11</t>
  </si>
  <si>
    <t>Alimentos para Personas</t>
  </si>
  <si>
    <t>Productos Agrof. Madera corcho y manuf.</t>
  </si>
  <si>
    <t>Prendas de Vestir</t>
  </si>
  <si>
    <t>Otros texteles y Vestuario</t>
  </si>
  <si>
    <t>Papel de Escritorio</t>
  </si>
  <si>
    <t xml:space="preserve">Productos de artes gráficas </t>
  </si>
  <si>
    <t>Libros Revistas y Periodicos</t>
  </si>
  <si>
    <t xml:space="preserve">Especies timbradas y valores </t>
  </si>
  <si>
    <t>Otros Productos de papel, carton e impresos</t>
  </si>
  <si>
    <t>PRODUCTOS QUIMICOS Y CONEXOS</t>
  </si>
  <si>
    <t>2 62</t>
  </si>
  <si>
    <t>Combustibles y Lubricantes</t>
  </si>
  <si>
    <t>2 66</t>
  </si>
  <si>
    <t>Productos medicinales y Farm.</t>
  </si>
  <si>
    <t>Tintas</t>
  </si>
  <si>
    <t>Productos plásticos, nylon  y p.v.c.</t>
  </si>
  <si>
    <t>PRODUC. DE MINERALES NO METÁLICOS</t>
  </si>
  <si>
    <t xml:space="preserve">Productos de Vidrio </t>
  </si>
  <si>
    <t xml:space="preserve">Productos de cemento, pómez, Asbesto y yeso </t>
  </si>
  <si>
    <t xml:space="preserve">Otros Productos de Minerales no metálicos </t>
  </si>
  <si>
    <t xml:space="preserve">Productos de metal </t>
  </si>
  <si>
    <t>OTROS MAT. Y SUMINISTROS</t>
  </si>
  <si>
    <t>2 91</t>
  </si>
  <si>
    <t>Utiles de Oficina</t>
  </si>
  <si>
    <t>Utiles de Limpieza y Prod Sanitarios</t>
  </si>
  <si>
    <t>2 94</t>
  </si>
  <si>
    <t>Utiles deportivos y recreativos</t>
  </si>
  <si>
    <t>Utiles menores medicos-quirur y de lab.</t>
  </si>
  <si>
    <t>Utiles de Cocina y Comedor</t>
  </si>
  <si>
    <t>Utiles, Materiales Electricos</t>
  </si>
  <si>
    <t>Accesorios y Repuestos en General</t>
  </si>
  <si>
    <t>2 99</t>
  </si>
  <si>
    <t>Otros Materiales y Suministros</t>
  </si>
  <si>
    <t>PROPIEDAD, PLANTA, EQUIPO</t>
  </si>
  <si>
    <t>3 22</t>
  </si>
  <si>
    <t>Equipo de Oficina</t>
  </si>
  <si>
    <t>Equipo Medico-Sanitario y de Laboratorio</t>
  </si>
  <si>
    <t>3 24</t>
  </si>
  <si>
    <t>Equipo Educacional y Recreativo</t>
  </si>
  <si>
    <t>Equipo de Comunicaciones</t>
  </si>
  <si>
    <t>Otras Maquinarias y Equipo</t>
  </si>
  <si>
    <t>Equipo de computo</t>
  </si>
  <si>
    <t>3 32</t>
  </si>
  <si>
    <t>Const de Bienes de uso no comun</t>
  </si>
  <si>
    <t>TRANSF. AL SECTOR EXT.</t>
  </si>
  <si>
    <t>Indemnizacion al Personal</t>
  </si>
  <si>
    <t xml:space="preserve">Beca de estuidos en el interior </t>
  </si>
  <si>
    <t>Otras Transferencias a personas</t>
  </si>
  <si>
    <t>Trans. A Org.Internacionales</t>
  </si>
  <si>
    <t xml:space="preserve">CREDITO DE RESERVA </t>
  </si>
  <si>
    <t>Credito de reserva</t>
  </si>
  <si>
    <t>EGRESOS QUE NO AFECTAN AL PRESUPUESTO</t>
  </si>
  <si>
    <t>FIANZA DE FIDELIDAD DE EMPLEADOS RENGLON  011</t>
  </si>
  <si>
    <t xml:space="preserve">IMPUESTOS EFECTUADOS EN EL MES </t>
  </si>
  <si>
    <t>IGSS LABORAL DE EMPLEADOS RENGLON 011</t>
  </si>
  <si>
    <t xml:space="preserve">REINTEGRO AL COMITÉ OLIMPICO GUATEMALTECO </t>
  </si>
  <si>
    <t xml:space="preserve">REINTEGRO A LA C.D.A.G. </t>
  </si>
  <si>
    <t>TOTALES</t>
  </si>
  <si>
    <t>Saldo de Caja 2025</t>
  </si>
  <si>
    <t>C.O.G. 2025</t>
  </si>
  <si>
    <t>0 21</t>
  </si>
  <si>
    <t>Personal Supernumerario</t>
  </si>
  <si>
    <t>Servicios de Vigilancia</t>
  </si>
  <si>
    <t xml:space="preserve">Insecticidas, Fumigación y Similares </t>
  </si>
  <si>
    <t>Equipo de Transporte</t>
  </si>
  <si>
    <t>CDAG AMPLIACIÓN</t>
  </si>
  <si>
    <t>Total de Ingresos 2,025</t>
  </si>
  <si>
    <t xml:space="preserve">Febrero </t>
  </si>
  <si>
    <t>Marzo</t>
  </si>
  <si>
    <t xml:space="preserve">Mayo </t>
  </si>
  <si>
    <t>Junio</t>
  </si>
  <si>
    <t xml:space="preserve">Ejecutado </t>
  </si>
  <si>
    <t xml:space="preserve">Disponible </t>
  </si>
  <si>
    <t xml:space="preserve">APROBACIÓN </t>
  </si>
  <si>
    <t xml:space="preserve">SALDO DE CAJA </t>
  </si>
  <si>
    <t>AMPLEACIÓN C.O.G.</t>
  </si>
  <si>
    <t>AMPLEACIÓN C.D.A.G.</t>
  </si>
  <si>
    <t>Julio</t>
  </si>
  <si>
    <t>Agosto</t>
  </si>
  <si>
    <t>Octubre</t>
  </si>
  <si>
    <t xml:space="preserve">Noviembre </t>
  </si>
  <si>
    <t xml:space="preserve">Servicios de Ing., Arq. Y supervición de obras </t>
  </si>
  <si>
    <t>Actualizado: 31 de diciembre de  2025</t>
  </si>
  <si>
    <t>(+) Saldo de noviembre 2025</t>
  </si>
  <si>
    <t>Actualizado: 31  de diciembre   2025</t>
  </si>
  <si>
    <t>Sercicios Económicos, Finan. Conta. Y de Audi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</si>
</sst>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Q&quot;* #,##0.00_-;\-&quot;Q&quot;* #,##0.00_-;_-&quot;Q&quot;* &quot;-&quot;??_-;_-@_-"/>
    <numFmt numFmtId="165" formatCode="&quot;Q&quot;#,##0.00"/>
    <numFmt numFmtId="166" formatCode="_(&quot;Q&quot;* #,##0.00_);_(&quot;Q&quot;* \(#,##0.00\);_(&quot;Q&quot;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sz val="9"/>
      <name val="Arial"/>
      <family val="2"/>
    </font>
    <font>
      <sz val="12"/>
      <color rgb="FFFF0000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4" fontId="7" fillId="0" borderId="3" xfId="0" applyNumberFormat="1" applyFont="1" applyBorder="1" applyAlignment="1">
      <alignment horizontal="right"/>
    </xf>
    <xf numFmtId="4" fontId="8" fillId="0" borderId="3" xfId="0" applyNumberFormat="1" applyFont="1" applyBorder="1" applyAlignment="1">
      <alignment horizontal="right"/>
    </xf>
    <xf numFmtId="4" fontId="9" fillId="0" borderId="3" xfId="0" applyNumberFormat="1" applyFont="1" applyBorder="1" applyAlignment="1">
      <alignment horizontal="right"/>
    </xf>
    <xf numFmtId="4" fontId="9" fillId="0" borderId="4" xfId="0" applyNumberFormat="1" applyFont="1" applyBorder="1" applyAlignment="1">
      <alignment horizontal="right"/>
    </xf>
    <xf numFmtId="2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/>
    </xf>
    <xf numFmtId="4" fontId="0" fillId="0" borderId="0" xfId="0" applyNumberFormat="1"/>
    <xf numFmtId="4" fontId="10" fillId="0" borderId="0" xfId="0" applyNumberFormat="1" applyFont="1"/>
    <xf numFmtId="4" fontId="10" fillId="0" borderId="0" xfId="0" applyNumberFormat="1" applyFont="1" applyAlignment="1">
      <alignment horizontal="center"/>
    </xf>
    <xf numFmtId="0" fontId="10" fillId="0" borderId="0" xfId="0" applyFont="1"/>
    <xf numFmtId="165" fontId="10" fillId="0" borderId="0" xfId="0" applyNumberFormat="1" applyFont="1" applyAlignment="1">
      <alignment horizontal="center"/>
    </xf>
    <xf numFmtId="165" fontId="10" fillId="0" borderId="0" xfId="0" applyNumberFormat="1" applyFont="1"/>
    <xf numFmtId="165" fontId="10" fillId="0" borderId="5" xfId="0" applyNumberFormat="1" applyFont="1" applyBorder="1"/>
    <xf numFmtId="165" fontId="10" fillId="0" borderId="5" xfId="0" applyNumberFormat="1" applyFont="1" applyBorder="1" applyAlignment="1">
      <alignment horizontal="center"/>
    </xf>
    <xf numFmtId="0" fontId="7" fillId="0" borderId="0" xfId="0" applyFont="1"/>
    <xf numFmtId="0" fontId="11" fillId="0" borderId="0" xfId="0" applyFont="1"/>
    <xf numFmtId="165" fontId="6" fillId="0" borderId="6" xfId="0" applyNumberFormat="1" applyFont="1" applyBorder="1"/>
    <xf numFmtId="0" fontId="11" fillId="0" borderId="0" xfId="0" applyFont="1" applyAlignment="1">
      <alignment horizontal="left"/>
    </xf>
    <xf numFmtId="165" fontId="11" fillId="0" borderId="6" xfId="0" applyNumberFormat="1" applyFont="1" applyBorder="1"/>
    <xf numFmtId="165" fontId="0" fillId="0" borderId="0" xfId="0" applyNumberFormat="1"/>
    <xf numFmtId="0" fontId="0" fillId="0" borderId="0" xfId="0" applyAlignment="1">
      <alignment horizontal="center" vertical="center"/>
    </xf>
    <xf numFmtId="4" fontId="6" fillId="0" borderId="0" xfId="0" applyNumberFormat="1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/>
    <xf numFmtId="0" fontId="3" fillId="0" borderId="0" xfId="0" applyFont="1" applyAlignment="1">
      <alignment horizontal="center" vertical="center" wrapText="1"/>
    </xf>
    <xf numFmtId="0" fontId="13" fillId="0" borderId="0" xfId="0" applyFont="1"/>
    <xf numFmtId="0" fontId="3" fillId="0" borderId="0" xfId="0" applyFont="1" applyAlignment="1">
      <alignment vertical="center" wrapText="1"/>
    </xf>
    <xf numFmtId="0" fontId="14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" fontId="12" fillId="0" borderId="16" xfId="0" applyNumberFormat="1" applyFont="1" applyBorder="1"/>
    <xf numFmtId="0" fontId="12" fillId="0" borderId="18" xfId="0" applyFont="1" applyBorder="1" applyAlignment="1">
      <alignment horizontal="left"/>
    </xf>
    <xf numFmtId="0" fontId="13" fillId="0" borderId="19" xfId="0" applyFont="1" applyBorder="1"/>
    <xf numFmtId="4" fontId="12" fillId="0" borderId="19" xfId="0" applyNumberFormat="1" applyFont="1" applyBorder="1"/>
    <xf numFmtId="4" fontId="12" fillId="0" borderId="20" xfId="0" applyNumberFormat="1" applyFont="1" applyBorder="1"/>
    <xf numFmtId="0" fontId="12" fillId="0" borderId="18" xfId="0" applyFont="1" applyBorder="1" applyAlignment="1">
      <alignment horizontal="center"/>
    </xf>
    <xf numFmtId="0" fontId="12" fillId="0" borderId="19" xfId="0" applyFont="1" applyBorder="1"/>
    <xf numFmtId="0" fontId="10" fillId="0" borderId="19" xfId="0" applyFont="1" applyBorder="1"/>
    <xf numFmtId="4" fontId="15" fillId="0" borderId="20" xfId="0" applyNumberFormat="1" applyFont="1" applyBorder="1"/>
    <xf numFmtId="2" fontId="12" fillId="0" borderId="19" xfId="0" applyNumberFormat="1" applyFont="1" applyBorder="1" applyAlignment="1">
      <alignment horizontal="right"/>
    </xf>
    <xf numFmtId="4" fontId="12" fillId="0" borderId="19" xfId="0" applyNumberFormat="1" applyFont="1" applyBorder="1" applyAlignment="1">
      <alignment horizontal="right"/>
    </xf>
    <xf numFmtId="4" fontId="12" fillId="0" borderId="0" xfId="0" applyNumberFormat="1" applyFont="1"/>
    <xf numFmtId="0" fontId="12" fillId="0" borderId="19" xfId="0" applyFont="1" applyBorder="1" applyAlignment="1">
      <alignment horizontal="left"/>
    </xf>
    <xf numFmtId="4" fontId="12" fillId="2" borderId="19" xfId="0" applyNumberFormat="1" applyFont="1" applyFill="1" applyBorder="1"/>
    <xf numFmtId="4" fontId="15" fillId="2" borderId="19" xfId="0" applyNumberFormat="1" applyFont="1" applyFill="1" applyBorder="1"/>
    <xf numFmtId="0" fontId="13" fillId="0" borderId="18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22" xfId="0" applyFont="1" applyBorder="1"/>
    <xf numFmtId="4" fontId="12" fillId="0" borderId="22" xfId="0" applyNumberFormat="1" applyFont="1" applyBorder="1"/>
    <xf numFmtId="0" fontId="12" fillId="0" borderId="23" xfId="0" applyFont="1" applyBorder="1" applyAlignment="1">
      <alignment horizontal="center"/>
    </xf>
    <xf numFmtId="0" fontId="12" fillId="0" borderId="24" xfId="0" applyFont="1" applyBorder="1"/>
    <xf numFmtId="4" fontId="12" fillId="0" borderId="24" xfId="0" applyNumberFormat="1" applyFont="1" applyBorder="1"/>
    <xf numFmtId="4" fontId="12" fillId="0" borderId="25" xfId="0" applyNumberFormat="1" applyFont="1" applyBorder="1"/>
    <xf numFmtId="4" fontId="16" fillId="0" borderId="0" xfId="0" applyNumberFormat="1" applyFont="1"/>
    <xf numFmtId="0" fontId="12" fillId="0" borderId="15" xfId="0" applyFont="1" applyBorder="1" applyAlignment="1">
      <alignment horizontal="center"/>
    </xf>
    <xf numFmtId="0" fontId="12" fillId="0" borderId="16" xfId="0" applyFont="1" applyBorder="1"/>
    <xf numFmtId="4" fontId="12" fillId="0" borderId="16" xfId="0" applyNumberFormat="1" applyFont="1" applyBorder="1" applyAlignment="1">
      <alignment horizontal="center" vertical="center" wrapText="1"/>
    </xf>
    <xf numFmtId="4" fontId="12" fillId="0" borderId="17" xfId="0" applyNumberFormat="1" applyFont="1" applyBorder="1" applyAlignment="1">
      <alignment horizontal="center" vertical="center" wrapText="1"/>
    </xf>
    <xf numFmtId="4" fontId="0" fillId="3" borderId="0" xfId="0" applyNumberFormat="1" applyFill="1"/>
    <xf numFmtId="0" fontId="12" fillId="0" borderId="18" xfId="0" applyFont="1" applyBorder="1"/>
    <xf numFmtId="0" fontId="17" fillId="0" borderId="19" xfId="0" applyFont="1" applyBorder="1"/>
    <xf numFmtId="0" fontId="18" fillId="2" borderId="19" xfId="0" applyFont="1" applyFill="1" applyBorder="1" applyAlignment="1">
      <alignment horizontal="left"/>
    </xf>
    <xf numFmtId="0" fontId="18" fillId="0" borderId="19" xfId="0" applyFont="1" applyBorder="1"/>
    <xf numFmtId="0" fontId="18" fillId="0" borderId="22" xfId="0" applyFont="1" applyBorder="1"/>
    <xf numFmtId="4" fontId="15" fillId="0" borderId="22" xfId="0" applyNumberFormat="1" applyFont="1" applyBorder="1"/>
    <xf numFmtId="0" fontId="15" fillId="0" borderId="0" xfId="0" applyFont="1"/>
    <xf numFmtId="4" fontId="15" fillId="0" borderId="0" xfId="0" applyNumberFormat="1" applyFont="1"/>
    <xf numFmtId="4" fontId="16" fillId="2" borderId="0" xfId="0" applyNumberFormat="1" applyFont="1" applyFill="1"/>
    <xf numFmtId="0" fontId="19" fillId="0" borderId="0" xfId="0" applyFont="1"/>
    <xf numFmtId="0" fontId="2" fillId="0" borderId="0" xfId="0" applyFont="1"/>
    <xf numFmtId="0" fontId="4" fillId="0" borderId="0" xfId="0" applyFont="1"/>
    <xf numFmtId="4" fontId="4" fillId="0" borderId="0" xfId="0" applyNumberFormat="1" applyFont="1"/>
    <xf numFmtId="0" fontId="0" fillId="2" borderId="0" xfId="0" applyFill="1"/>
    <xf numFmtId="4" fontId="15" fillId="2" borderId="0" xfId="0" applyNumberFormat="1" applyFont="1" applyFill="1"/>
    <xf numFmtId="4" fontId="4" fillId="2" borderId="0" xfId="0" applyNumberFormat="1" applyFont="1" applyFill="1"/>
    <xf numFmtId="4" fontId="2" fillId="0" borderId="0" xfId="0" applyNumberFormat="1" applyFont="1"/>
    <xf numFmtId="0" fontId="15" fillId="2" borderId="0" xfId="0" applyFont="1" applyFill="1"/>
    <xf numFmtId="4" fontId="19" fillId="2" borderId="0" xfId="0" applyNumberFormat="1" applyFont="1" applyFill="1"/>
    <xf numFmtId="0" fontId="2" fillId="2" borderId="0" xfId="0" applyFont="1" applyFill="1"/>
    <xf numFmtId="0" fontId="16" fillId="0" borderId="0" xfId="0" applyFont="1"/>
    <xf numFmtId="4" fontId="19" fillId="0" borderId="0" xfId="0" applyNumberFormat="1" applyFont="1"/>
    <xf numFmtId="0" fontId="20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22" fillId="2" borderId="0" xfId="0" applyNumberFormat="1" applyFont="1" applyFill="1" applyAlignment="1">
      <alignment horizontal="center" vertical="center" wrapText="1"/>
    </xf>
    <xf numFmtId="4" fontId="23" fillId="2" borderId="0" xfId="0" applyNumberFormat="1" applyFont="1" applyFill="1" applyAlignment="1">
      <alignment horizontal="center" vertical="center" wrapText="1"/>
    </xf>
    <xf numFmtId="4" fontId="2" fillId="2" borderId="0" xfId="0" applyNumberFormat="1" applyFont="1" applyFill="1"/>
    <xf numFmtId="4" fontId="16" fillId="2" borderId="0" xfId="0" applyNumberFormat="1" applyFont="1" applyFill="1" applyAlignment="1">
      <alignment horizontal="center" vertical="center"/>
    </xf>
    <xf numFmtId="4" fontId="19" fillId="2" borderId="0" xfId="0" applyNumberFormat="1" applyFont="1" applyFill="1" applyAlignment="1">
      <alignment horizontal="center" vertical="center"/>
    </xf>
    <xf numFmtId="4" fontId="12" fillId="2" borderId="0" xfId="0" applyNumberFormat="1" applyFont="1" applyFill="1"/>
    <xf numFmtId="0" fontId="20" fillId="2" borderId="0" xfId="0" applyFont="1" applyFill="1"/>
    <xf numFmtId="4" fontId="20" fillId="2" borderId="0" xfId="0" applyNumberFormat="1" applyFont="1" applyFill="1"/>
    <xf numFmtId="166" fontId="2" fillId="2" borderId="0" xfId="0" applyNumberFormat="1" applyFont="1" applyFill="1"/>
    <xf numFmtId="4" fontId="4" fillId="0" borderId="0" xfId="1" applyNumberFormat="1" applyFont="1"/>
    <xf numFmtId="164" fontId="2" fillId="2" borderId="0" xfId="0" applyNumberFormat="1" applyFont="1" applyFill="1"/>
    <xf numFmtId="4" fontId="0" fillId="2" borderId="0" xfId="0" applyNumberFormat="1" applyFill="1"/>
    <xf numFmtId="166" fontId="2" fillId="0" borderId="0" xfId="0" applyNumberFormat="1" applyFont="1"/>
    <xf numFmtId="2" fontId="12" fillId="2" borderId="19" xfId="0" applyNumberFormat="1" applyFont="1" applyFill="1" applyBorder="1" applyAlignment="1">
      <alignment horizontal="right"/>
    </xf>
    <xf numFmtId="4" fontId="12" fillId="2" borderId="19" xfId="0" applyNumberFormat="1" applyFont="1" applyFill="1" applyBorder="1" applyAlignment="1">
      <alignment horizontal="right"/>
    </xf>
    <xf numFmtId="0" fontId="12" fillId="2" borderId="19" xfId="0" applyFont="1" applyFill="1" applyBorder="1" applyAlignment="1">
      <alignment horizontal="right"/>
    </xf>
    <xf numFmtId="0" fontId="12" fillId="0" borderId="23" xfId="0" applyFont="1" applyBorder="1"/>
    <xf numFmtId="0" fontId="12" fillId="0" borderId="24" xfId="0" applyFont="1" applyBorder="1" applyAlignment="1">
      <alignment horizontal="center"/>
    </xf>
    <xf numFmtId="4" fontId="15" fillId="0" borderId="24" xfId="0" applyNumberFormat="1" applyFont="1" applyBorder="1"/>
    <xf numFmtId="4" fontId="24" fillId="0" borderId="3" xfId="0" applyNumberFormat="1" applyFont="1" applyBorder="1" applyAlignment="1">
      <alignment horizontal="right"/>
    </xf>
    <xf numFmtId="0" fontId="12" fillId="0" borderId="15" xfId="0" applyFont="1" applyBorder="1" applyAlignment="1">
      <alignment horizontal="left"/>
    </xf>
    <xf numFmtId="0" fontId="13" fillId="0" borderId="16" xfId="0" applyFont="1" applyBorder="1"/>
    <xf numFmtId="4" fontId="12" fillId="0" borderId="17" xfId="0" applyNumberFormat="1" applyFont="1" applyBorder="1"/>
    <xf numFmtId="0" fontId="13" fillId="4" borderId="10" xfId="0" applyFont="1" applyFill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2" fontId="13" fillId="4" borderId="11" xfId="0" applyNumberFormat="1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9" fontId="13" fillId="4" borderId="10" xfId="0" applyNumberFormat="1" applyFont="1" applyFill="1" applyBorder="1" applyAlignment="1">
      <alignment horizontal="center" vertical="center" wrapText="1"/>
    </xf>
    <xf numFmtId="9" fontId="13" fillId="4" borderId="14" xfId="0" applyNumberFormat="1" applyFont="1" applyFill="1" applyBorder="1" applyAlignment="1">
      <alignment horizontal="center" vertical="center" wrapText="1"/>
    </xf>
    <xf numFmtId="9" fontId="13" fillId="4" borderId="8" xfId="0" applyNumberFormat="1" applyFont="1" applyFill="1" applyBorder="1" applyAlignment="1">
      <alignment horizontal="center" vertical="center" wrapText="1"/>
    </xf>
    <xf numFmtId="9" fontId="13" fillId="4" borderId="13" xfId="0" applyNumberFormat="1" applyFont="1" applyFill="1" applyBorder="1" applyAlignment="1">
      <alignment horizontal="center" vertical="center" wrapText="1"/>
    </xf>
    <xf numFmtId="9" fontId="13" fillId="4" borderId="9" xfId="0" applyNumberFormat="1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4" fontId="13" fillId="4" borderId="11" xfId="0" applyNumberFormat="1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4" fontId="24" fillId="0" borderId="3" xfId="0" applyNumberFormat="1" applyFont="1" applyBorder="1" applyAlignment="1">
      <alignment horizontal="center"/>
    </xf>
    <xf numFmtId="4" fontId="6" fillId="0" borderId="2" xfId="0" applyNumberFormat="1" applyFont="1" applyBorder="1" applyAlignment="1">
      <alignment horizontal="center"/>
    </xf>
    <xf numFmtId="4" fontId="7" fillId="0" borderId="26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4" fontId="7" fillId="0" borderId="27" xfId="0" applyNumberFormat="1" applyFont="1" applyBorder="1" applyAlignment="1">
      <alignment horizontal="right" vertical="center" wrapText="1"/>
    </xf>
    <xf numFmtId="4" fontId="7" fillId="0" borderId="27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wrapText="1"/>
    </xf>
    <xf numFmtId="4" fontId="7" fillId="0" borderId="4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center"/>
    </xf>
    <xf numFmtId="0" fontId="21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4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2" fontId="5" fillId="0" borderId="0" xfId="0" applyNumberFormat="1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0</xdr:rowOff>
    </xdr:from>
    <xdr:to>
      <xdr:col>1</xdr:col>
      <xdr:colOff>542925</xdr:colOff>
      <xdr:row>8</xdr:row>
      <xdr:rowOff>142875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CF004914-1808-404D-858B-960065FE9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0"/>
          <a:ext cx="1552575" cy="1685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racqu/OneDrive/Escritorio/Raquetbol%202023/ESTADOS%20FINANCIEROS%202023/2.%20Ejecucion%202023.xlsx" TargetMode="External"/><Relationship Id="rId2" Type="http://schemas.openxmlformats.org/officeDocument/2006/relationships/externalLinkPath" Target="file:///C:\Users\racqu\OneDrive\Escritorio\Raquetbol%202023\ESTADOS%20FINANCIEROS%202023\2.%20Ejecucion%202023.xlsx" TargetMode="External"/><Relationship Id="rId1" Type="http://schemas.openxmlformats.org/officeDocument/2006/relationships/externalLinkPath" Target="/Users/racqu/OneDrive/Escritorio/Raquetbol%202023/ESTADOS%20FINANCIEROS%202023/2.%20Ejecucion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conta/OneDrive/Escritorio/Raquetbol%202023/Raquetbol%202025/Estados%20Financieros%202025/09.%20EJECUCI&#211;N%20PRESUPUESTARIA%202025.xlsx" TargetMode="External"/><Relationship Id="rId2" Type="http://schemas.openxmlformats.org/officeDocument/2006/relationships/externalLinkPath" Target="file:///C:\Users\conta\OneDrive\Escritorio\Raquetbol%202023\Raquetbol%202025\Estados%20Financieros%202025\09.%20EJECUCI&#211;N%20PRESUPUESTARIA%202025.xlsx" TargetMode="External"/><Relationship Id="rId1" Type="http://schemas.openxmlformats.org/officeDocument/2006/relationships/externalLinkPath" Target="/Users/conta/OneDrive/Escritorio/Raquetbol%202023/Raquetbol%202025/Estados%20Financieros%202025/09.%20EJECUCI&#211;N%20PRESUPUESTARIA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4"/>
      <sheetName val="Hoja1"/>
      <sheetName val=" Egresos 2016"/>
      <sheetName val="Hoja5"/>
      <sheetName val="MAYO  2017"/>
      <sheetName val="EGRESOS 2017"/>
      <sheetName val="junio 2017"/>
      <sheetName val="julio  2017"/>
      <sheetName val="Agosto "/>
      <sheetName val="octubre"/>
      <sheetName val="NOVIEMBRE"/>
      <sheetName val="diciembre "/>
      <sheetName val="Ingresos 2017"/>
      <sheetName val="ENERO "/>
      <sheetName val="marzo "/>
      <sheetName val="abril "/>
      <sheetName val="junio 2018"/>
      <sheetName val="julio 2018"/>
      <sheetName val="agosto 2018"/>
      <sheetName val="Octubre 2018"/>
      <sheetName val="NOVIEMBRE 2018"/>
      <sheetName val="ENERO 2019"/>
      <sheetName val="FEBRERO 2019"/>
      <sheetName val="MARZO 2019"/>
      <sheetName val="Presupuesto 2019"/>
      <sheetName val="abril 2019"/>
      <sheetName val="correcto"/>
      <sheetName val="mayo 2019"/>
      <sheetName val="junio 2019"/>
      <sheetName val="julio 2019"/>
      <sheetName val="Agosto 2019"/>
      <sheetName val="septiembre 2019"/>
      <sheetName val="OCTUBRE 2019"/>
      <sheetName val="noviembre 2019"/>
      <sheetName val="diciembre 2019"/>
      <sheetName val="enero 2020"/>
      <sheetName val="Hoja2"/>
      <sheetName val="febrero 2020"/>
      <sheetName val="marzo 2020"/>
      <sheetName val="abril 2020"/>
      <sheetName val="mayo 2020"/>
      <sheetName val="JUNIO 2020"/>
      <sheetName val="julio 2020"/>
      <sheetName val="agosto 2020"/>
      <sheetName val="septeimbre 2020"/>
      <sheetName val="octubre 2020"/>
      <sheetName val="Noviembre 2020"/>
      <sheetName val="INGRESOS 2020"/>
      <sheetName val="diciembre 2020"/>
      <sheetName val="ENERO 2021"/>
      <sheetName val="enero 21"/>
      <sheetName val="Hoja3"/>
      <sheetName val="FEBRERO 2021"/>
      <sheetName val="INGRESOS 2021"/>
      <sheetName val="Hoja7"/>
      <sheetName val="marzo 2021"/>
      <sheetName val="Hoja8"/>
      <sheetName val="abril 2021"/>
      <sheetName val="Hoja6"/>
      <sheetName val="mayo 2021"/>
      <sheetName val="mayo 021"/>
      <sheetName val="junio 2021"/>
      <sheetName val="junio 021"/>
      <sheetName val="21 Junio "/>
      <sheetName val="2021 Junio"/>
      <sheetName val="21 julio "/>
      <sheetName val="2021 julio "/>
      <sheetName val="21 agos"/>
      <sheetName val="2021 agosto"/>
      <sheetName val="sep 2021"/>
      <sheetName val="septiembre 2021"/>
      <sheetName val="octu21"/>
      <sheetName val="octubre 2021"/>
      <sheetName val="Hoja11"/>
      <sheetName val="nov21"/>
      <sheetName val="noviembre 2021"/>
      <sheetName val="2. INGRESOS 2021"/>
      <sheetName val="dic21"/>
      <sheetName val="Enero 2022"/>
      <sheetName val="febrero"/>
      <sheetName val="febrero 2022"/>
      <sheetName val="marzo 2022"/>
      <sheetName val="marzo 22"/>
      <sheetName val="abril 22"/>
      <sheetName val="abril 2022"/>
      <sheetName val="mayo 22"/>
      <sheetName val="mayo 2022"/>
      <sheetName val="junio 22"/>
      <sheetName val="junio2022"/>
      <sheetName val="julio 22"/>
      <sheetName val="julio 2022"/>
      <sheetName val="agosto 22"/>
      <sheetName val="agosto 2022"/>
      <sheetName val="Hoja9"/>
      <sheetName val="septiembre 22"/>
      <sheetName val="Septiembre 2022"/>
      <sheetName val="Hoja10"/>
      <sheetName val="octubre 2022"/>
      <sheetName val="Hoja13"/>
      <sheetName val="oct 2022"/>
      <sheetName val="octubre22"/>
      <sheetName val="nov 202"/>
      <sheetName val="noviembre 2022"/>
      <sheetName val="dic 22"/>
      <sheetName val="diciembre 2022"/>
      <sheetName val="INGRESOS 2023"/>
      <sheetName val="Enero 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130">
          <cell r="I130">
            <v>1167532.82</v>
          </cell>
        </row>
      </sheetData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>
        <row r="131">
          <cell r="Y131">
            <v>1320782.7289999998</v>
          </cell>
        </row>
      </sheetData>
      <sheetData sheetId="104"/>
      <sheetData sheetId="105"/>
      <sheetData sheetId="10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  <sheetName val="Enero 2024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Enero 2025"/>
      <sheetName val="Febrero 2025"/>
      <sheetName val="Marzo 2025"/>
      <sheetName val="Abril 2025"/>
      <sheetName val="INGRESOS 2024"/>
      <sheetName val="mayo 2025"/>
      <sheetName val="Ingresos junio 2025"/>
      <sheetName val="Junio 2025"/>
      <sheetName val="Ingresos julio 2025"/>
      <sheetName val="julio 2025"/>
      <sheetName val="ingresos agosto 2025"/>
      <sheetName val="agosto 2025"/>
      <sheetName val="Septiembre 2025"/>
      <sheetName val="Octubre 2025"/>
      <sheetName val="Noviembre 205"/>
      <sheetName val="ingresos 25"/>
      <sheetName val="Diciembre 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76462-45D2-4838-B20E-DCD05FDF8643}">
  <dimension ref="A2:AB46"/>
  <sheetViews>
    <sheetView view="pageBreakPreview" zoomScale="60" zoomScaleNormal="100" workbookViewId="0">
      <selection activeCell="E40" sqref="E40"/>
    </sheetView>
  </sheetViews>
  <sheetFormatPr baseColWidth="10" defaultRowHeight="15" x14ac:dyDescent="0.25"/>
  <cols>
    <col min="1" max="1" width="17.85546875" customWidth="1"/>
    <col min="2" max="2" width="19.85546875" customWidth="1"/>
    <col min="3" max="3" width="12.5703125" customWidth="1"/>
    <col min="4" max="4" width="16.5703125" customWidth="1"/>
    <col min="5" max="5" width="12.28515625" customWidth="1"/>
    <col min="6" max="6" width="11.28515625" customWidth="1"/>
    <col min="7" max="7" width="12.5703125" customWidth="1"/>
    <col min="8" max="8" width="11.5703125" customWidth="1"/>
    <col min="9" max="9" width="12.140625" customWidth="1"/>
    <col min="10" max="10" width="20" customWidth="1"/>
    <col min="11" max="11" width="15.140625" customWidth="1"/>
    <col min="12" max="12" width="14.28515625" customWidth="1"/>
    <col min="13" max="13" width="14.85546875" customWidth="1"/>
    <col min="14" max="14" width="12.85546875" customWidth="1"/>
    <col min="15" max="15" width="13.85546875" customWidth="1"/>
    <col min="16" max="16" width="14.28515625" customWidth="1"/>
  </cols>
  <sheetData>
    <row r="2" spans="1:28" ht="15" customHeight="1" x14ac:dyDescent="0.25">
      <c r="H2" s="28"/>
      <c r="J2" s="28"/>
      <c r="K2" s="28"/>
      <c r="L2" s="28"/>
      <c r="M2" s="28"/>
      <c r="N2" s="28"/>
      <c r="O2" s="28"/>
      <c r="P2" s="28"/>
      <c r="Q2" s="28"/>
      <c r="R2" s="29"/>
      <c r="S2" s="29"/>
      <c r="T2" s="29"/>
      <c r="U2" s="29"/>
      <c r="V2" s="29"/>
      <c r="W2" s="29"/>
      <c r="X2" s="29"/>
    </row>
    <row r="3" spans="1:28" ht="15" customHeight="1" x14ac:dyDescent="0.25">
      <c r="D3" s="148" t="s">
        <v>38</v>
      </c>
      <c r="E3" s="148"/>
      <c r="F3" s="148"/>
      <c r="G3" s="148"/>
      <c r="H3" s="148"/>
      <c r="I3" s="148"/>
      <c r="J3" s="148"/>
      <c r="K3" s="148"/>
      <c r="L3" s="28"/>
      <c r="M3" s="28"/>
      <c r="N3" s="28"/>
      <c r="O3" s="28"/>
      <c r="P3" s="28"/>
      <c r="Q3" s="28"/>
      <c r="R3" s="29"/>
      <c r="S3" s="29"/>
      <c r="T3" s="29"/>
      <c r="U3" s="29"/>
      <c r="V3" s="29"/>
      <c r="W3" s="29"/>
      <c r="X3" s="29"/>
    </row>
    <row r="4" spans="1:28" ht="15.75" customHeight="1" x14ac:dyDescent="0.25">
      <c r="D4" s="149" t="s">
        <v>39</v>
      </c>
      <c r="E4" s="149"/>
      <c r="F4" s="149"/>
      <c r="G4" s="149"/>
      <c r="H4" s="149"/>
      <c r="I4" s="149"/>
      <c r="J4" s="149"/>
      <c r="K4" s="149"/>
      <c r="L4" s="28"/>
      <c r="M4" s="28"/>
      <c r="N4" s="28"/>
      <c r="O4" s="28"/>
      <c r="P4" s="28"/>
      <c r="Q4" s="28"/>
      <c r="R4" s="29"/>
      <c r="S4" s="29"/>
      <c r="T4" s="29"/>
      <c r="U4" s="29"/>
      <c r="V4" s="29"/>
      <c r="W4" s="29"/>
      <c r="X4" s="29"/>
      <c r="Y4" s="30"/>
      <c r="Z4" s="30"/>
      <c r="AA4" s="30"/>
      <c r="AB4" s="30"/>
    </row>
    <row r="5" spans="1:28" ht="15.75" customHeight="1" x14ac:dyDescent="0.25">
      <c r="D5" s="148" t="s">
        <v>40</v>
      </c>
      <c r="E5" s="148"/>
      <c r="F5" s="148"/>
      <c r="G5" s="148"/>
      <c r="H5" s="148"/>
      <c r="I5" s="148"/>
      <c r="J5" s="148"/>
      <c r="K5" s="148"/>
      <c r="L5" s="33"/>
      <c r="M5" s="33"/>
      <c r="N5" s="33"/>
      <c r="O5" s="33"/>
      <c r="P5" s="33"/>
      <c r="Q5" s="33"/>
      <c r="R5" s="31"/>
      <c r="S5" s="31"/>
      <c r="T5" s="31"/>
      <c r="U5" s="31"/>
      <c r="V5" s="31"/>
      <c r="W5" s="31"/>
      <c r="X5" s="31"/>
      <c r="Y5" s="32"/>
      <c r="Z5" s="32"/>
      <c r="AA5" s="30"/>
      <c r="AB5" s="30"/>
    </row>
    <row r="6" spans="1:28" x14ac:dyDescent="0.25">
      <c r="D6" s="149" t="s">
        <v>229</v>
      </c>
      <c r="E6" s="149"/>
      <c r="F6" s="149"/>
      <c r="G6" s="149"/>
      <c r="H6" s="149"/>
      <c r="I6" s="149"/>
      <c r="J6" s="149"/>
      <c r="K6" s="149"/>
      <c r="M6" s="34"/>
    </row>
    <row r="7" spans="1:28" x14ac:dyDescent="0.25">
      <c r="A7" s="1"/>
      <c r="B7" s="1"/>
      <c r="C7" s="1"/>
      <c r="D7" s="1"/>
      <c r="E7" s="1"/>
      <c r="G7" s="139" t="s">
        <v>0</v>
      </c>
      <c r="H7" s="139"/>
    </row>
    <row r="8" spans="1:28" x14ac:dyDescent="0.25">
      <c r="A8" s="1"/>
      <c r="B8" s="1"/>
      <c r="C8" s="1"/>
      <c r="D8" s="1"/>
      <c r="E8" s="1"/>
      <c r="F8" s="2"/>
      <c r="G8" s="2"/>
      <c r="H8" s="2"/>
    </row>
    <row r="9" spans="1:28" x14ac:dyDescent="0.25">
      <c r="A9" s="3"/>
      <c r="B9" s="3"/>
      <c r="C9" s="3"/>
      <c r="D9" s="3"/>
      <c r="E9" s="3"/>
      <c r="F9" s="4"/>
      <c r="G9" s="4"/>
      <c r="H9" s="4"/>
    </row>
    <row r="10" spans="1:28" ht="15.75" thickBot="1" x14ac:dyDescent="0.3">
      <c r="A10" s="1"/>
      <c r="B10" s="1"/>
      <c r="C10" s="1"/>
      <c r="D10" s="1"/>
      <c r="E10" s="1"/>
      <c r="F10" s="2"/>
      <c r="G10" s="2"/>
      <c r="H10" s="2"/>
    </row>
    <row r="11" spans="1:28" ht="16.5" thickTop="1" thickBot="1" x14ac:dyDescent="0.3">
      <c r="A11" s="127"/>
      <c r="B11" s="127" t="s">
        <v>1</v>
      </c>
      <c r="C11" s="127" t="s">
        <v>2</v>
      </c>
      <c r="D11" s="127" t="s">
        <v>3</v>
      </c>
      <c r="E11" s="127" t="s">
        <v>4</v>
      </c>
      <c r="F11" s="127" t="s">
        <v>5</v>
      </c>
      <c r="G11" s="127" t="s">
        <v>6</v>
      </c>
      <c r="H11" s="127" t="s">
        <v>7</v>
      </c>
      <c r="I11" s="127" t="s">
        <v>8</v>
      </c>
      <c r="J11" s="127" t="s">
        <v>9</v>
      </c>
      <c r="K11" s="127" t="s">
        <v>10</v>
      </c>
      <c r="L11" s="127" t="s">
        <v>11</v>
      </c>
      <c r="M11" s="127" t="s">
        <v>12</v>
      </c>
      <c r="N11" s="127" t="s">
        <v>13</v>
      </c>
      <c r="O11" s="127" t="s">
        <v>218</v>
      </c>
      <c r="P11" s="127" t="s">
        <v>219</v>
      </c>
    </row>
    <row r="12" spans="1:28" ht="16.5" thickTop="1" thickBot="1" x14ac:dyDescent="0.3">
      <c r="A12" s="127" t="s">
        <v>14</v>
      </c>
      <c r="B12" s="127" t="s">
        <v>220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28" ht="16.5" thickTop="1" thickBot="1" x14ac:dyDescent="0.3">
      <c r="A13" s="127" t="s">
        <v>15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7">
        <v>0</v>
      </c>
      <c r="K13" s="6">
        <v>0</v>
      </c>
      <c r="L13" s="6">
        <v>0</v>
      </c>
      <c r="M13" s="6">
        <v>0</v>
      </c>
      <c r="N13" s="6">
        <v>0</v>
      </c>
      <c r="O13" s="6">
        <f>SUM(C13:N13)</f>
        <v>0</v>
      </c>
      <c r="P13" s="6">
        <f>SUM(D13:O13)</f>
        <v>0</v>
      </c>
    </row>
    <row r="14" spans="1:28" ht="16.5" thickTop="1" thickBot="1" x14ac:dyDescent="0.3">
      <c r="A14" s="127" t="s">
        <v>16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7">
        <v>0</v>
      </c>
      <c r="K14" s="6">
        <v>0</v>
      </c>
      <c r="L14" s="6">
        <v>0</v>
      </c>
      <c r="M14" s="6">
        <v>0</v>
      </c>
      <c r="N14" s="6">
        <v>0</v>
      </c>
      <c r="O14" s="6">
        <f>SUM(C14:N14)</f>
        <v>0</v>
      </c>
      <c r="P14" s="6">
        <f>SUM(D14:O14)</f>
        <v>0</v>
      </c>
    </row>
    <row r="15" spans="1:28" ht="16.5" thickTop="1" thickBot="1" x14ac:dyDescent="0.3">
      <c r="A15" s="128"/>
      <c r="B15" s="129"/>
      <c r="C15" s="109"/>
      <c r="D15" s="109"/>
      <c r="E15" s="109"/>
      <c r="F15" s="109"/>
      <c r="G15" s="109"/>
      <c r="H15" s="109"/>
      <c r="I15" s="6"/>
      <c r="J15" s="109"/>
      <c r="K15" s="6"/>
      <c r="L15" s="6"/>
      <c r="M15" s="6"/>
      <c r="N15" s="6"/>
      <c r="O15" s="6">
        <f>SUM(C15:L15)</f>
        <v>0</v>
      </c>
      <c r="P15" s="6">
        <f>SUM(D15:M15)</f>
        <v>0</v>
      </c>
    </row>
    <row r="16" spans="1:28" ht="16.5" thickTop="1" thickBot="1" x14ac:dyDescent="0.3">
      <c r="A16" s="127" t="s">
        <v>17</v>
      </c>
      <c r="B16" s="130"/>
      <c r="C16" s="6"/>
      <c r="D16" s="6"/>
      <c r="E16" s="6"/>
      <c r="F16" s="6"/>
      <c r="G16" s="6"/>
      <c r="H16" s="6"/>
      <c r="I16" s="6"/>
      <c r="J16" s="7"/>
      <c r="K16" s="6"/>
      <c r="L16" s="6"/>
      <c r="M16" s="6"/>
      <c r="N16" s="6"/>
      <c r="O16" s="6"/>
      <c r="P16" s="6"/>
    </row>
    <row r="17" spans="1:16" ht="16.5" thickTop="1" thickBot="1" x14ac:dyDescent="0.3">
      <c r="A17" s="127" t="s">
        <v>15</v>
      </c>
      <c r="B17" s="131">
        <v>9157760.7899999991</v>
      </c>
      <c r="C17" s="6">
        <v>763146.73</v>
      </c>
      <c r="D17" s="6">
        <v>763146.73</v>
      </c>
      <c r="E17" s="6">
        <v>763146.73</v>
      </c>
      <c r="F17" s="6">
        <v>763146.73</v>
      </c>
      <c r="G17" s="6">
        <v>498767</v>
      </c>
      <c r="H17" s="6">
        <v>873285</v>
      </c>
      <c r="I17" s="6">
        <v>710995.35</v>
      </c>
      <c r="J17" s="6">
        <v>685877.55</v>
      </c>
      <c r="K17" s="6">
        <v>685877.55</v>
      </c>
      <c r="L17" s="6">
        <v>1149221.5</v>
      </c>
      <c r="M17" s="6">
        <v>763146.73</v>
      </c>
      <c r="N17" s="6">
        <v>763120.99</v>
      </c>
      <c r="O17" s="6">
        <f>SUM(C17:N17)</f>
        <v>9182878.5899999999</v>
      </c>
      <c r="P17" s="6">
        <f>B17-O17</f>
        <v>-25117.800000000745</v>
      </c>
    </row>
    <row r="18" spans="1:16" ht="27" thickTop="1" thickBot="1" x14ac:dyDescent="0.3">
      <c r="A18" s="132" t="s">
        <v>212</v>
      </c>
      <c r="B18" s="133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f>SUM(C18:N18)</f>
        <v>0</v>
      </c>
      <c r="P18" s="6">
        <f>SUM(D18:O18)</f>
        <v>0</v>
      </c>
    </row>
    <row r="19" spans="1:16" ht="16.5" thickTop="1" thickBot="1" x14ac:dyDescent="0.3">
      <c r="A19" s="127" t="s">
        <v>16</v>
      </c>
      <c r="B19" s="134">
        <v>708210.71</v>
      </c>
      <c r="C19" s="6">
        <v>0</v>
      </c>
      <c r="D19" s="6">
        <v>40434.959999999999</v>
      </c>
      <c r="E19" s="6">
        <f>85126.08</f>
        <v>85126.080000000002</v>
      </c>
      <c r="F19" s="6">
        <v>42563.040000000001</v>
      </c>
      <c r="G19" s="6">
        <v>166669.59</v>
      </c>
      <c r="H19" s="6">
        <v>42563.040000000001</v>
      </c>
      <c r="I19" s="6">
        <v>211057.6</v>
      </c>
      <c r="J19" s="6">
        <v>42563.040000000001</v>
      </c>
      <c r="K19" s="6">
        <v>81598.5</v>
      </c>
      <c r="L19" s="6">
        <v>91685.47</v>
      </c>
      <c r="M19" s="6">
        <v>205222.8</v>
      </c>
      <c r="N19" s="6">
        <v>154775.07</v>
      </c>
      <c r="O19" s="6">
        <f>SUM(C19:N19)</f>
        <v>1164259.1900000002</v>
      </c>
      <c r="P19" s="6">
        <f>B19-O19</f>
        <v>-456048.48000000021</v>
      </c>
    </row>
    <row r="20" spans="1:16" ht="16.5" thickTop="1" thickBot="1" x14ac:dyDescent="0.3">
      <c r="A20" s="127" t="s">
        <v>18</v>
      </c>
      <c r="B20" s="6">
        <v>0</v>
      </c>
      <c r="C20" s="6">
        <f>6033.98+38666.26</f>
        <v>44700.240000000005</v>
      </c>
      <c r="D20" s="6">
        <f>12763.24+38257.97</f>
        <v>51021.21</v>
      </c>
      <c r="E20" s="6">
        <f>48572.12</f>
        <v>48572.12</v>
      </c>
      <c r="F20" s="6">
        <f>11284.56+38391.61</f>
        <v>49676.17</v>
      </c>
      <c r="G20" s="6">
        <f>11806.06+41704.67</f>
        <v>53510.729999999996</v>
      </c>
      <c r="H20" s="6">
        <f>10565.52+40461.83</f>
        <v>51027.350000000006</v>
      </c>
      <c r="I20" s="6">
        <f>12169.82+43984.68</f>
        <v>56154.5</v>
      </c>
      <c r="J20" s="6">
        <f>10419.99+43512.82</f>
        <v>53932.81</v>
      </c>
      <c r="K20" s="6">
        <f>9020.06+43776.31</f>
        <v>52796.369999999995</v>
      </c>
      <c r="L20" s="6">
        <f>9374.14+48124.25</f>
        <v>57498.39</v>
      </c>
      <c r="M20" s="6">
        <f>11499.11+46466.42</f>
        <v>57965.53</v>
      </c>
      <c r="N20" s="6">
        <f>12839.24+46992.08</f>
        <v>59831.32</v>
      </c>
      <c r="O20" s="6">
        <f>SUM(C20:N20)</f>
        <v>636686.73999999987</v>
      </c>
      <c r="P20" s="6">
        <v>0</v>
      </c>
    </row>
    <row r="21" spans="1:16" ht="33.75" customHeight="1" thickTop="1" thickBot="1" x14ac:dyDescent="0.3">
      <c r="A21" s="135" t="s">
        <v>221</v>
      </c>
      <c r="B21" s="6">
        <v>9687872.4900000002</v>
      </c>
      <c r="C21" s="6"/>
      <c r="D21" s="6"/>
      <c r="E21" s="6"/>
      <c r="F21" s="6"/>
      <c r="G21" s="6"/>
      <c r="H21" s="6"/>
      <c r="I21" s="6"/>
      <c r="J21" s="8"/>
      <c r="K21" s="6"/>
      <c r="L21" s="8"/>
      <c r="M21" s="8"/>
      <c r="N21" s="8"/>
      <c r="O21" s="6"/>
      <c r="P21" s="6"/>
    </row>
    <row r="22" spans="1:16" ht="33.75" customHeight="1" thickTop="1" thickBot="1" x14ac:dyDescent="0.3">
      <c r="A22" s="135" t="s">
        <v>222</v>
      </c>
      <c r="B22" s="134">
        <f>'[2]julio 2025'!I139</f>
        <v>0</v>
      </c>
      <c r="C22" s="6"/>
      <c r="D22" s="6"/>
      <c r="E22" s="6"/>
      <c r="F22" s="6"/>
      <c r="G22" s="6"/>
      <c r="H22" s="6"/>
      <c r="I22" s="6"/>
      <c r="J22" s="8"/>
      <c r="K22" s="6"/>
      <c r="L22" s="8"/>
      <c r="M22" s="8"/>
      <c r="N22" s="8"/>
      <c r="O22" s="6"/>
      <c r="P22" s="6"/>
    </row>
    <row r="23" spans="1:16" ht="30" customHeight="1" thickTop="1" thickBot="1" x14ac:dyDescent="0.3">
      <c r="A23" s="135" t="s">
        <v>223</v>
      </c>
      <c r="B23" s="134">
        <v>0</v>
      </c>
      <c r="C23" s="6"/>
      <c r="D23" s="6"/>
      <c r="E23" s="6"/>
      <c r="F23" s="6"/>
      <c r="G23" s="6"/>
      <c r="H23" s="6"/>
      <c r="I23" s="6"/>
      <c r="J23" s="8"/>
      <c r="K23" s="6"/>
      <c r="L23" s="8"/>
      <c r="M23" s="8"/>
      <c r="N23" s="8"/>
      <c r="O23" s="6"/>
      <c r="P23" s="6"/>
    </row>
    <row r="24" spans="1:16" ht="16.5" thickTop="1" thickBot="1" x14ac:dyDescent="0.3">
      <c r="A24" s="127" t="s">
        <v>19</v>
      </c>
      <c r="B24" s="134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6.5" thickTop="1" thickBot="1" x14ac:dyDescent="0.3">
      <c r="A25" s="127" t="s">
        <v>20</v>
      </c>
      <c r="B25" s="136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6.5" thickTop="1" thickBot="1" x14ac:dyDescent="0.3">
      <c r="A26" s="127" t="s">
        <v>21</v>
      </c>
      <c r="B26" s="137">
        <f>B17+B19+B20+B21+B22</f>
        <v>19553843.990000002</v>
      </c>
      <c r="C26" s="9">
        <f>SUM(C13:C25)</f>
        <v>807846.97</v>
      </c>
      <c r="D26" s="9">
        <f t="shared" ref="D26:K26" si="0">SUM(D13:D25)</f>
        <v>854602.89999999991</v>
      </c>
      <c r="E26" s="9">
        <f t="shared" si="0"/>
        <v>896844.92999999993</v>
      </c>
      <c r="F26" s="9">
        <f t="shared" si="0"/>
        <v>855385.94000000006</v>
      </c>
      <c r="G26" s="9">
        <f t="shared" si="0"/>
        <v>718947.32</v>
      </c>
      <c r="H26" s="9">
        <f t="shared" si="0"/>
        <v>966875.39</v>
      </c>
      <c r="I26" s="9">
        <f t="shared" si="0"/>
        <v>978207.45</v>
      </c>
      <c r="J26" s="9">
        <f t="shared" si="0"/>
        <v>782373.40000000014</v>
      </c>
      <c r="K26" s="9">
        <f t="shared" si="0"/>
        <v>820272.42</v>
      </c>
      <c r="L26" s="9">
        <f>SUM(L13:L25)</f>
        <v>1298405.3599999999</v>
      </c>
      <c r="M26" s="9">
        <f>SUM(M12:M25)</f>
        <v>1026335.06</v>
      </c>
      <c r="N26" s="9">
        <f>SUM(N12:N25)</f>
        <v>977727.38</v>
      </c>
      <c r="O26" s="9">
        <f>SUM(O12:O25)</f>
        <v>10983824.52</v>
      </c>
      <c r="P26" s="9">
        <f>SUM(P12:P25)</f>
        <v>-481166.28000000096</v>
      </c>
    </row>
    <row r="27" spans="1:16" ht="15.75" thickTop="1" x14ac:dyDescent="0.25">
      <c r="B27" s="1"/>
      <c r="C27" s="1"/>
      <c r="D27" s="10"/>
      <c r="E27" s="2"/>
      <c r="F27" s="11"/>
      <c r="G27" s="2" t="s">
        <v>22</v>
      </c>
      <c r="H27" s="2"/>
      <c r="I27" s="2"/>
    </row>
    <row r="28" spans="1:16" x14ac:dyDescent="0.25">
      <c r="B28" s="152" t="s">
        <v>23</v>
      </c>
      <c r="C28" s="152"/>
      <c r="D28" s="152"/>
      <c r="E28" s="152"/>
      <c r="F28" s="1" t="s">
        <v>24</v>
      </c>
      <c r="G28" s="2"/>
      <c r="H28" s="11"/>
      <c r="I28" s="2"/>
      <c r="J28" s="12"/>
    </row>
    <row r="29" spans="1:16" x14ac:dyDescent="0.25">
      <c r="B29" s="13" t="s">
        <v>25</v>
      </c>
      <c r="C29" s="13"/>
      <c r="D29" s="13"/>
      <c r="E29" s="14"/>
      <c r="F29" s="15"/>
      <c r="G29" s="15"/>
      <c r="H29" s="15"/>
      <c r="I29" s="15"/>
    </row>
    <row r="30" spans="1:16" x14ac:dyDescent="0.25">
      <c r="B30" s="13" t="s">
        <v>26</v>
      </c>
      <c r="C30" s="13"/>
      <c r="D30" s="16">
        <f>N19</f>
        <v>154775.07</v>
      </c>
      <c r="F30" s="15" t="s">
        <v>27</v>
      </c>
      <c r="J30" s="17">
        <f>+D39</f>
        <v>14177764.380000001</v>
      </c>
    </row>
    <row r="31" spans="1:16" x14ac:dyDescent="0.25">
      <c r="B31" s="13" t="s">
        <v>28</v>
      </c>
      <c r="C31" s="13"/>
      <c r="D31" s="16">
        <f>N17</f>
        <v>763120.99</v>
      </c>
      <c r="F31" s="15" t="s">
        <v>29</v>
      </c>
      <c r="J31" s="18">
        <v>1201427.48</v>
      </c>
    </row>
    <row r="32" spans="1:16" x14ac:dyDescent="0.25">
      <c r="B32" s="13" t="s">
        <v>30</v>
      </c>
      <c r="C32" s="13"/>
      <c r="D32" s="19">
        <f>N20</f>
        <v>59831.32</v>
      </c>
      <c r="F32" s="15"/>
      <c r="J32" s="17">
        <f>+J30-J31</f>
        <v>12976336.9</v>
      </c>
    </row>
    <row r="33" spans="1:14" x14ac:dyDescent="0.25">
      <c r="B33" s="13" t="s">
        <v>27</v>
      </c>
      <c r="C33" s="13"/>
      <c r="D33" s="16">
        <f>SUM(D30:D32)</f>
        <v>977727.38</v>
      </c>
      <c r="F33" s="15" t="s">
        <v>31</v>
      </c>
      <c r="J33" s="18">
        <v>0</v>
      </c>
    </row>
    <row r="34" spans="1:14" x14ac:dyDescent="0.25">
      <c r="B34" s="20" t="s">
        <v>230</v>
      </c>
      <c r="C34" s="15"/>
      <c r="D34" s="19">
        <v>13200037</v>
      </c>
      <c r="F34" s="3"/>
      <c r="J34" s="17">
        <f>+J32+J33</f>
        <v>12976336.9</v>
      </c>
      <c r="L34" s="12"/>
      <c r="M34" s="12"/>
      <c r="N34" s="12"/>
    </row>
    <row r="35" spans="1:14" x14ac:dyDescent="0.25">
      <c r="B35" s="15" t="s">
        <v>32</v>
      </c>
      <c r="C35" s="15"/>
      <c r="D35" s="16">
        <f>D33+D34</f>
        <v>14177764.380000001</v>
      </c>
      <c r="F35" s="15" t="s">
        <v>33</v>
      </c>
      <c r="J35" s="18">
        <v>0</v>
      </c>
    </row>
    <row r="36" spans="1:14" ht="15.75" thickBot="1" x14ac:dyDescent="0.3">
      <c r="B36" s="21" t="s">
        <v>34</v>
      </c>
      <c r="C36" s="21"/>
      <c r="D36" s="18">
        <v>0</v>
      </c>
      <c r="F36" s="3" t="s">
        <v>35</v>
      </c>
      <c r="J36" s="22">
        <f>+J34-J35</f>
        <v>12976336.9</v>
      </c>
    </row>
    <row r="37" spans="1:14" ht="15.75" thickTop="1" x14ac:dyDescent="0.25">
      <c r="B37" s="15" t="s">
        <v>32</v>
      </c>
      <c r="C37" s="15"/>
      <c r="D37" s="16">
        <f>D35-D36</f>
        <v>14177764.380000001</v>
      </c>
    </row>
    <row r="38" spans="1:14" x14ac:dyDescent="0.25">
      <c r="B38" s="21" t="s">
        <v>36</v>
      </c>
      <c r="C38" s="21"/>
      <c r="D38" s="18">
        <v>0</v>
      </c>
    </row>
    <row r="39" spans="1:14" ht="15.75" thickBot="1" x14ac:dyDescent="0.3">
      <c r="B39" s="23" t="s">
        <v>213</v>
      </c>
      <c r="C39" s="23"/>
      <c r="D39" s="24">
        <f>+D37+D38</f>
        <v>14177764.380000001</v>
      </c>
      <c r="J39" s="25"/>
      <c r="K39" s="25"/>
    </row>
    <row r="40" spans="1:14" ht="15.75" thickTop="1" x14ac:dyDescent="0.25">
      <c r="B40" s="21"/>
      <c r="C40" s="21"/>
      <c r="D40" s="21"/>
      <c r="J40" s="25"/>
      <c r="L40" s="12"/>
      <c r="M40" s="12"/>
      <c r="N40" s="12"/>
    </row>
    <row r="41" spans="1:14" x14ac:dyDescent="0.25">
      <c r="B41" s="15"/>
      <c r="D41" s="15"/>
      <c r="E41" s="15"/>
      <c r="J41" s="12"/>
    </row>
    <row r="42" spans="1:14" x14ac:dyDescent="0.25">
      <c r="A42" s="151"/>
      <c r="B42" s="151"/>
      <c r="E42" s="26"/>
    </row>
    <row r="43" spans="1:14" x14ac:dyDescent="0.25">
      <c r="A43" s="151"/>
      <c r="B43" s="151"/>
      <c r="E43" s="26"/>
    </row>
    <row r="44" spans="1:14" x14ac:dyDescent="0.25">
      <c r="C44" s="15"/>
      <c r="G44" s="27"/>
      <c r="H44" s="27"/>
    </row>
    <row r="45" spans="1:14" x14ac:dyDescent="0.25">
      <c r="C45" s="3"/>
      <c r="G45" s="3"/>
      <c r="H45" s="3"/>
    </row>
    <row r="46" spans="1:14" x14ac:dyDescent="0.25">
      <c r="F46" s="3"/>
      <c r="G46" s="3" t="s">
        <v>37</v>
      </c>
      <c r="H46" s="3"/>
    </row>
  </sheetData>
  <mergeCells count="8">
    <mergeCell ref="A42:B42"/>
    <mergeCell ref="A43:B43"/>
    <mergeCell ref="G7:H7"/>
    <mergeCell ref="D3:K3"/>
    <mergeCell ref="D4:K4"/>
    <mergeCell ref="D5:K5"/>
    <mergeCell ref="D6:K6"/>
    <mergeCell ref="B28:E28"/>
  </mergeCells>
  <pageMargins left="0.51181102362204722" right="0.51181102362204722" top="0.74803149606299213" bottom="0.74803149606299213" header="0.31496062992125984" footer="0.31496062992125984"/>
  <pageSetup scale="5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6225B-A7E6-4D27-8141-590BF0A89116}">
  <dimension ref="B3:AJ162"/>
  <sheetViews>
    <sheetView tabSelected="1" view="pageBreakPreview" zoomScale="60" zoomScaleNormal="100" workbookViewId="0">
      <selection activeCell="N7" sqref="N7:T7"/>
    </sheetView>
  </sheetViews>
  <sheetFormatPr baseColWidth="10" defaultRowHeight="15" x14ac:dyDescent="0.25"/>
  <cols>
    <col min="1" max="1" width="6.5703125" customWidth="1"/>
    <col min="2" max="4" width="11.42578125" hidden="1" customWidth="1"/>
    <col min="5" max="5" width="8.5703125" hidden="1" customWidth="1"/>
    <col min="7" max="7" width="67.28515625" bestFit="1" customWidth="1"/>
    <col min="8" max="8" width="18" customWidth="1"/>
    <col min="9" max="9" width="16.85546875" bestFit="1" customWidth="1"/>
    <col min="10" max="10" width="16.85546875" customWidth="1"/>
    <col min="11" max="11" width="16" customWidth="1"/>
    <col min="12" max="12" width="18.140625" customWidth="1"/>
    <col min="13" max="13" width="14.5703125" customWidth="1"/>
    <col min="14" max="15" width="15.28515625" customWidth="1"/>
    <col min="16" max="19" width="15.7109375" customWidth="1"/>
    <col min="20" max="26" width="16.42578125" customWidth="1"/>
    <col min="27" max="27" width="15.7109375" customWidth="1"/>
    <col min="28" max="28" width="17.85546875" customWidth="1"/>
    <col min="29" max="29" width="15.85546875" bestFit="1" customWidth="1"/>
    <col min="30" max="30" width="17" customWidth="1"/>
    <col min="31" max="31" width="19" customWidth="1"/>
    <col min="33" max="33" width="15" bestFit="1" customWidth="1"/>
  </cols>
  <sheetData>
    <row r="3" spans="6:36" x14ac:dyDescent="0.25">
      <c r="H3" s="28"/>
      <c r="I3" s="148" t="s">
        <v>38</v>
      </c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29"/>
      <c r="AA3" s="29"/>
      <c r="AB3" s="29"/>
      <c r="AC3" s="29"/>
      <c r="AD3" s="29"/>
      <c r="AE3" s="29"/>
      <c r="AF3" s="29"/>
    </row>
    <row r="4" spans="6:36" ht="15.75" x14ac:dyDescent="0.25">
      <c r="F4" s="30"/>
      <c r="G4" s="30"/>
      <c r="H4" s="28"/>
      <c r="I4" s="149" t="s">
        <v>39</v>
      </c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31"/>
      <c r="AA4" s="31"/>
      <c r="AB4" s="31"/>
      <c r="AC4" s="31"/>
      <c r="AD4" s="31"/>
      <c r="AE4" s="31"/>
      <c r="AF4" s="31"/>
      <c r="AG4" s="30"/>
      <c r="AH4" s="30"/>
      <c r="AI4" s="30"/>
      <c r="AJ4" s="30"/>
    </row>
    <row r="5" spans="6:36" ht="15.75" x14ac:dyDescent="0.25">
      <c r="F5" s="30"/>
      <c r="G5" s="30"/>
      <c r="H5" s="28"/>
      <c r="I5" s="148" t="s">
        <v>40</v>
      </c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29"/>
      <c r="AA5" s="29"/>
      <c r="AB5" s="29"/>
      <c r="AC5" s="29"/>
      <c r="AD5" s="29"/>
      <c r="AE5" s="29"/>
      <c r="AF5" s="29"/>
      <c r="AG5" s="30"/>
      <c r="AH5" s="30"/>
      <c r="AI5" s="30"/>
      <c r="AJ5" s="30"/>
    </row>
    <row r="6" spans="6:36" ht="15.75" x14ac:dyDescent="0.25">
      <c r="F6" s="32"/>
      <c r="G6" s="32"/>
      <c r="H6" s="28"/>
      <c r="I6" s="149" t="s">
        <v>231</v>
      </c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31"/>
      <c r="AA6" s="31"/>
      <c r="AB6" s="31"/>
      <c r="AC6" s="31"/>
      <c r="AD6" s="31"/>
      <c r="AE6" s="31"/>
      <c r="AF6" s="31"/>
      <c r="AG6" s="32"/>
      <c r="AH6" s="32"/>
      <c r="AI6" s="30"/>
      <c r="AJ6" s="30"/>
    </row>
    <row r="7" spans="6:36" x14ac:dyDescent="0.25">
      <c r="N7" s="139" t="s">
        <v>0</v>
      </c>
      <c r="O7" s="139"/>
      <c r="P7" s="139"/>
      <c r="Q7" s="139"/>
      <c r="R7" s="139"/>
      <c r="S7" s="139"/>
      <c r="T7" s="139"/>
    </row>
    <row r="8" spans="6:36" ht="16.5" thickBot="1" x14ac:dyDescent="0.3"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0"/>
      <c r="AB8" s="30"/>
    </row>
    <row r="9" spans="6:36" ht="16.5" thickBot="1" x14ac:dyDescent="0.3">
      <c r="F9" s="30"/>
      <c r="G9" s="30"/>
      <c r="H9" s="30"/>
      <c r="I9" s="30"/>
      <c r="J9" s="140" t="s">
        <v>41</v>
      </c>
      <c r="K9" s="141"/>
      <c r="L9" s="36"/>
      <c r="M9" s="30"/>
      <c r="N9" s="30"/>
      <c r="O9" s="30"/>
      <c r="Y9" s="142" t="s">
        <v>42</v>
      </c>
      <c r="Z9" s="143"/>
      <c r="AA9" s="144"/>
      <c r="AB9" s="30"/>
      <c r="AC9" s="30"/>
    </row>
    <row r="10" spans="6:36" ht="66" customHeight="1" thickBot="1" x14ac:dyDescent="0.3">
      <c r="F10" s="113" t="s">
        <v>43</v>
      </c>
      <c r="G10" s="114" t="s">
        <v>44</v>
      </c>
      <c r="H10" s="114" t="s">
        <v>45</v>
      </c>
      <c r="I10" s="115" t="s">
        <v>46</v>
      </c>
      <c r="J10" s="114" t="s">
        <v>47</v>
      </c>
      <c r="K10" s="114" t="s">
        <v>48</v>
      </c>
      <c r="L10" s="116" t="s">
        <v>49</v>
      </c>
      <c r="M10" s="117" t="s">
        <v>50</v>
      </c>
      <c r="N10" s="118" t="s">
        <v>214</v>
      </c>
      <c r="O10" s="118" t="s">
        <v>215</v>
      </c>
      <c r="P10" s="118" t="s">
        <v>5</v>
      </c>
      <c r="Q10" s="118" t="s">
        <v>216</v>
      </c>
      <c r="R10" s="118" t="s">
        <v>217</v>
      </c>
      <c r="S10" s="118" t="s">
        <v>8</v>
      </c>
      <c r="T10" s="118" t="s">
        <v>225</v>
      </c>
      <c r="U10" s="118" t="s">
        <v>10</v>
      </c>
      <c r="V10" s="118" t="s">
        <v>226</v>
      </c>
      <c r="W10" s="118" t="s">
        <v>227</v>
      </c>
      <c r="X10" s="118" t="s">
        <v>13</v>
      </c>
      <c r="Y10" s="119">
        <v>0.2</v>
      </c>
      <c r="Z10" s="120">
        <v>0.3</v>
      </c>
      <c r="AA10" s="121">
        <v>0.5</v>
      </c>
      <c r="AB10" s="122" t="s">
        <v>206</v>
      </c>
      <c r="AC10" s="123" t="s">
        <v>205</v>
      </c>
      <c r="AD10" s="117" t="s">
        <v>51</v>
      </c>
      <c r="AE10" s="124" t="s">
        <v>52</v>
      </c>
    </row>
    <row r="11" spans="6:36" ht="15.75" x14ac:dyDescent="0.25">
      <c r="F11" s="110"/>
      <c r="G11" s="111" t="s">
        <v>53</v>
      </c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112"/>
    </row>
    <row r="12" spans="6:36" ht="15.75" x14ac:dyDescent="0.25">
      <c r="F12" s="38"/>
      <c r="G12" s="39" t="s">
        <v>54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1"/>
      <c r="AF12" s="12"/>
    </row>
    <row r="13" spans="6:36" ht="15.75" x14ac:dyDescent="0.25">
      <c r="F13" s="42" t="s">
        <v>55</v>
      </c>
      <c r="G13" s="43" t="s">
        <v>56</v>
      </c>
      <c r="H13" s="40">
        <v>679882.55</v>
      </c>
      <c r="I13" s="40"/>
      <c r="J13" s="40">
        <v>13923.9</v>
      </c>
      <c r="K13" s="40"/>
      <c r="L13" s="40">
        <f>H13+I13+J13-K13</f>
        <v>693806.45000000007</v>
      </c>
      <c r="M13" s="40">
        <v>57500</v>
      </c>
      <c r="N13" s="40">
        <v>57500</v>
      </c>
      <c r="O13" s="40">
        <v>57500</v>
      </c>
      <c r="P13" s="40">
        <v>57500</v>
      </c>
      <c r="Q13" s="40">
        <v>57500</v>
      </c>
      <c r="R13" s="40">
        <v>57500</v>
      </c>
      <c r="S13" s="40">
        <v>57500</v>
      </c>
      <c r="T13" s="40">
        <v>67500</v>
      </c>
      <c r="U13" s="40">
        <v>57500</v>
      </c>
      <c r="V13" s="40">
        <v>56639.79</v>
      </c>
      <c r="W13" s="40">
        <v>54833.33</v>
      </c>
      <c r="X13" s="40">
        <v>54833.33</v>
      </c>
      <c r="Y13" s="40">
        <f>47500+47500+47500+47500+47500+47500+47500+47500+47500+46639.79+44833.33+44833.33</f>
        <v>563806.44999999995</v>
      </c>
      <c r="Z13" s="40"/>
      <c r="AA13" s="40">
        <f>10000+10000+10000+10000+10000+10000+10000+20000+10000+10000+10000+10000</f>
        <v>130000</v>
      </c>
      <c r="AB13" s="40"/>
      <c r="AC13" s="40"/>
      <c r="AD13" s="40">
        <f>SUM(M13:X13)</f>
        <v>693806.45</v>
      </c>
      <c r="AE13" s="41">
        <f>+L13-AD13</f>
        <v>0</v>
      </c>
      <c r="AF13" s="12"/>
    </row>
    <row r="14" spans="6:36" ht="15.75" x14ac:dyDescent="0.25">
      <c r="F14" s="42" t="s">
        <v>57</v>
      </c>
      <c r="G14" s="43" t="s">
        <v>58</v>
      </c>
      <c r="H14" s="40">
        <v>1700</v>
      </c>
      <c r="I14" s="40"/>
      <c r="J14" s="40">
        <v>5000</v>
      </c>
      <c r="K14" s="40"/>
      <c r="L14" s="40">
        <f>H14+I14+J14-K14</f>
        <v>6700</v>
      </c>
      <c r="M14" s="40">
        <v>185</v>
      </c>
      <c r="N14" s="40">
        <v>185</v>
      </c>
      <c r="O14" s="40">
        <v>185</v>
      </c>
      <c r="P14" s="40">
        <v>185</v>
      </c>
      <c r="Q14" s="40">
        <v>185</v>
      </c>
      <c r="R14" s="40">
        <v>185</v>
      </c>
      <c r="S14" s="40">
        <v>185</v>
      </c>
      <c r="T14" s="40">
        <v>185</v>
      </c>
      <c r="U14" s="40">
        <v>185</v>
      </c>
      <c r="V14" s="40">
        <v>185</v>
      </c>
      <c r="W14" s="40">
        <v>185</v>
      </c>
      <c r="X14" s="40">
        <v>185</v>
      </c>
      <c r="Y14" s="40">
        <f>185+185+185+185+185+185+185+185+185+185+185+185</f>
        <v>2220</v>
      </c>
      <c r="Z14" s="40"/>
      <c r="AA14" s="40"/>
      <c r="AB14" s="40"/>
      <c r="AC14" s="40"/>
      <c r="AD14" s="40">
        <f t="shared" ref="AD14:AD61" si="0">SUM(M14:X14)</f>
        <v>2220</v>
      </c>
      <c r="AE14" s="41">
        <f>+L14-AD14</f>
        <v>4480</v>
      </c>
      <c r="AF14" s="12"/>
    </row>
    <row r="15" spans="6:36" ht="15.75" x14ac:dyDescent="0.25">
      <c r="F15" s="42" t="s">
        <v>59</v>
      </c>
      <c r="G15" s="43" t="s">
        <v>60</v>
      </c>
      <c r="H15" s="40">
        <v>4500</v>
      </c>
      <c r="I15" s="40"/>
      <c r="J15" s="40"/>
      <c r="K15" s="40"/>
      <c r="L15" s="40">
        <f t="shared" ref="L15:L61" si="1">H15+I15+J15-K15</f>
        <v>4500</v>
      </c>
      <c r="M15" s="40">
        <v>375</v>
      </c>
      <c r="N15" s="40">
        <v>375</v>
      </c>
      <c r="O15" s="40">
        <v>375</v>
      </c>
      <c r="P15" s="40">
        <v>375</v>
      </c>
      <c r="Q15" s="40">
        <v>375</v>
      </c>
      <c r="R15" s="40">
        <v>375</v>
      </c>
      <c r="S15" s="40">
        <v>375</v>
      </c>
      <c r="T15" s="40">
        <v>375</v>
      </c>
      <c r="U15" s="40">
        <v>375</v>
      </c>
      <c r="V15" s="40">
        <v>375</v>
      </c>
      <c r="W15" s="40">
        <v>375</v>
      </c>
      <c r="X15" s="40">
        <v>375</v>
      </c>
      <c r="Y15" s="40">
        <f>375+375+375+375+375+375+375+375+375+375+375+375</f>
        <v>4500</v>
      </c>
      <c r="Z15" s="40"/>
      <c r="AA15" s="40"/>
      <c r="AB15" s="40"/>
      <c r="AC15" s="40"/>
      <c r="AD15" s="40">
        <f t="shared" si="0"/>
        <v>4500</v>
      </c>
      <c r="AE15" s="41">
        <f>+L15-AD15</f>
        <v>0</v>
      </c>
      <c r="AF15" s="12"/>
    </row>
    <row r="16" spans="6:36" ht="15.75" x14ac:dyDescent="0.25">
      <c r="F16" s="42" t="s">
        <v>61</v>
      </c>
      <c r="G16" s="44" t="s">
        <v>62</v>
      </c>
      <c r="H16" s="40">
        <v>14500</v>
      </c>
      <c r="I16" s="40"/>
      <c r="J16" s="40">
        <v>10000</v>
      </c>
      <c r="K16" s="40"/>
      <c r="L16" s="40">
        <f t="shared" si="1"/>
        <v>24500</v>
      </c>
      <c r="M16" s="40">
        <v>1750</v>
      </c>
      <c r="N16" s="40">
        <v>1750</v>
      </c>
      <c r="O16" s="40">
        <v>1750</v>
      </c>
      <c r="P16" s="40">
        <v>1750</v>
      </c>
      <c r="Q16" s="40">
        <v>1750</v>
      </c>
      <c r="R16" s="40">
        <v>1750</v>
      </c>
      <c r="S16" s="40">
        <v>1750</v>
      </c>
      <c r="T16" s="40">
        <v>2000</v>
      </c>
      <c r="U16" s="40">
        <v>1750</v>
      </c>
      <c r="V16" s="40">
        <v>1750</v>
      </c>
      <c r="W16" s="40">
        <v>1750</v>
      </c>
      <c r="X16" s="40">
        <v>1750</v>
      </c>
      <c r="Y16" s="40">
        <f>1500+1500+1500+1500+1500+1500+1500+1500+1500+1500+1500+1500</f>
        <v>18000</v>
      </c>
      <c r="Z16" s="40"/>
      <c r="AA16" s="40">
        <f>250+250+250+250+250+250+250+500+250+250+250+250</f>
        <v>3250</v>
      </c>
      <c r="AB16" s="40"/>
      <c r="AC16" s="40"/>
      <c r="AD16" s="40">
        <f t="shared" si="0"/>
        <v>21250</v>
      </c>
      <c r="AE16" s="41">
        <f>+L16-AD16</f>
        <v>3250</v>
      </c>
      <c r="AF16" s="12"/>
    </row>
    <row r="17" spans="6:32" ht="15.75" x14ac:dyDescent="0.25">
      <c r="F17" s="42"/>
      <c r="G17" s="39" t="s">
        <v>63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50"/>
      <c r="Z17" s="50"/>
      <c r="AA17" s="50"/>
      <c r="AB17" s="50"/>
      <c r="AC17" s="50"/>
      <c r="AD17" s="40"/>
      <c r="AE17" s="41"/>
      <c r="AF17" s="12"/>
    </row>
    <row r="18" spans="6:32" ht="15.75" x14ac:dyDescent="0.25">
      <c r="F18" s="42" t="s">
        <v>207</v>
      </c>
      <c r="G18" s="43" t="s">
        <v>208</v>
      </c>
      <c r="H18" s="40"/>
      <c r="I18" s="40"/>
      <c r="J18" s="40">
        <v>10000</v>
      </c>
      <c r="K18" s="40"/>
      <c r="L18" s="40">
        <v>10000</v>
      </c>
      <c r="M18" s="40">
        <v>0</v>
      </c>
      <c r="N18" s="40">
        <v>0</v>
      </c>
      <c r="O18" s="40">
        <v>0</v>
      </c>
      <c r="P18" s="40">
        <v>0</v>
      </c>
      <c r="Q18" s="40">
        <v>3000</v>
      </c>
      <c r="R18" s="40">
        <v>0</v>
      </c>
      <c r="S18" s="40">
        <v>0</v>
      </c>
      <c r="T18" s="40">
        <v>0</v>
      </c>
      <c r="U18" s="40">
        <v>0</v>
      </c>
      <c r="V18" s="40">
        <v>0</v>
      </c>
      <c r="W18" s="40">
        <v>0</v>
      </c>
      <c r="X18" s="40">
        <v>0</v>
      </c>
      <c r="Y18" s="50"/>
      <c r="Z18" s="50">
        <v>3000</v>
      </c>
      <c r="AA18" s="50"/>
      <c r="AB18" s="50"/>
      <c r="AC18" s="50"/>
      <c r="AD18" s="40">
        <f t="shared" si="0"/>
        <v>3000</v>
      </c>
      <c r="AE18" s="41">
        <f t="shared" ref="AE18:AE27" si="2">+L18-AD18</f>
        <v>7000</v>
      </c>
      <c r="AF18" s="12"/>
    </row>
    <row r="19" spans="6:32" ht="15.75" x14ac:dyDescent="0.25">
      <c r="F19" s="42" t="s">
        <v>64</v>
      </c>
      <c r="G19" s="43" t="s">
        <v>65</v>
      </c>
      <c r="H19" s="40">
        <v>818462.96</v>
      </c>
      <c r="I19" s="40">
        <v>85126.080000000002</v>
      </c>
      <c r="J19" s="40"/>
      <c r="K19" s="40"/>
      <c r="L19" s="40">
        <f t="shared" si="1"/>
        <v>903589.03999999992</v>
      </c>
      <c r="M19" s="40">
        <v>48800</v>
      </c>
      <c r="N19" s="40">
        <v>133926.07999999999</v>
      </c>
      <c r="O19" s="40">
        <v>40300</v>
      </c>
      <c r="P19" s="40">
        <v>61933.93</v>
      </c>
      <c r="Q19" s="40">
        <v>57800</v>
      </c>
      <c r="R19" s="40">
        <v>47300</v>
      </c>
      <c r="S19" s="40">
        <v>59300</v>
      </c>
      <c r="T19" s="40">
        <v>53300</v>
      </c>
      <c r="U19" s="40">
        <v>53300</v>
      </c>
      <c r="V19" s="40">
        <v>53300</v>
      </c>
      <c r="W19" s="40">
        <v>53300</v>
      </c>
      <c r="X19" s="40">
        <v>56800</v>
      </c>
      <c r="Y19" s="50">
        <f>2500+2500+2500+2500+2500+2500+2500+2500+2500+2500+2500+2500+4000+4000</f>
        <v>38000</v>
      </c>
      <c r="Z19" s="50">
        <f>5720+90846.08+11440-42563.04-42563.04+5720+5720+5720+5720+5720+5720+5720+5720</f>
        <v>68640</v>
      </c>
      <c r="AA19" s="50">
        <f>40580+40580+37800+47993.93+49580+39080+51080+45080+45080+45080+45080+40580</f>
        <v>527593.92999999993</v>
      </c>
      <c r="AB19" s="50">
        <f>42563.04+42563.04</f>
        <v>85126.080000000002</v>
      </c>
      <c r="AC19" s="50"/>
      <c r="AD19" s="40">
        <f t="shared" si="0"/>
        <v>719360.01</v>
      </c>
      <c r="AE19" s="45">
        <f t="shared" si="2"/>
        <v>184229.02999999991</v>
      </c>
      <c r="AF19" s="12"/>
    </row>
    <row r="20" spans="6:32" s="30" customFormat="1" ht="15.75" x14ac:dyDescent="0.25">
      <c r="F20" s="42" t="s">
        <v>66</v>
      </c>
      <c r="G20" s="43" t="s">
        <v>67</v>
      </c>
      <c r="H20" s="40">
        <v>75130.789999999994</v>
      </c>
      <c r="I20" s="40"/>
      <c r="J20" s="40"/>
      <c r="K20" s="43"/>
      <c r="L20" s="40">
        <f t="shared" si="1"/>
        <v>75130.789999999994</v>
      </c>
      <c r="M20" s="46">
        <v>6135.25</v>
      </c>
      <c r="N20" s="46">
        <v>6135.25</v>
      </c>
      <c r="O20" s="46">
        <v>6135.25</v>
      </c>
      <c r="P20" s="46">
        <v>6135.25</v>
      </c>
      <c r="Q20" s="46">
        <v>6135.25</v>
      </c>
      <c r="R20" s="46">
        <v>6135.25</v>
      </c>
      <c r="S20" s="46">
        <v>6135.25</v>
      </c>
      <c r="T20" s="46">
        <v>6135.25</v>
      </c>
      <c r="U20" s="46">
        <v>7202.25</v>
      </c>
      <c r="V20" s="46">
        <v>6135.25</v>
      </c>
      <c r="W20" s="46">
        <v>6135.25</v>
      </c>
      <c r="X20" s="46">
        <v>6135.25</v>
      </c>
      <c r="Y20" s="103">
        <f>5068.25+5068.25+5068.25+5068.25+5068.25+5068.25+5068.25+5068.25+5068.25+5068.25+5068.25+5068.25</f>
        <v>60819</v>
      </c>
      <c r="Z20" s="103"/>
      <c r="AA20" s="104">
        <f>1067+1067+1067+1067+1067+1067+1067+1067+2134+1067+1067+1067</f>
        <v>13871</v>
      </c>
      <c r="AB20" s="104"/>
      <c r="AC20" s="105"/>
      <c r="AD20" s="40">
        <f t="shared" si="0"/>
        <v>74690</v>
      </c>
      <c r="AE20" s="45">
        <f t="shared" si="2"/>
        <v>440.7899999999936</v>
      </c>
      <c r="AF20" s="12"/>
    </row>
    <row r="21" spans="6:32" s="30" customFormat="1" ht="15.75" x14ac:dyDescent="0.25">
      <c r="F21" s="42" t="s">
        <v>68</v>
      </c>
      <c r="G21" s="43" t="s">
        <v>69</v>
      </c>
      <c r="H21" s="40">
        <v>1000</v>
      </c>
      <c r="I21" s="40"/>
      <c r="J21" s="40"/>
      <c r="K21" s="43"/>
      <c r="L21" s="40">
        <f t="shared" si="1"/>
        <v>1000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40">
        <v>0</v>
      </c>
      <c r="V21" s="40">
        <v>0</v>
      </c>
      <c r="W21" s="40"/>
      <c r="X21" s="40"/>
      <c r="Y21" s="105"/>
      <c r="Z21" s="104"/>
      <c r="AA21" s="105"/>
      <c r="AB21" s="105"/>
      <c r="AC21" s="105"/>
      <c r="AD21" s="40">
        <f t="shared" si="0"/>
        <v>0</v>
      </c>
      <c r="AE21" s="45">
        <f t="shared" si="2"/>
        <v>1000</v>
      </c>
      <c r="AF21" s="12"/>
    </row>
    <row r="22" spans="6:32" ht="15.75" x14ac:dyDescent="0.25">
      <c r="F22" s="42" t="s">
        <v>70</v>
      </c>
      <c r="G22" s="43" t="s">
        <v>71</v>
      </c>
      <c r="H22" s="40">
        <v>241140</v>
      </c>
      <c r="I22" s="40"/>
      <c r="J22" s="40"/>
      <c r="K22" s="40"/>
      <c r="L22" s="40">
        <f t="shared" si="1"/>
        <v>241140</v>
      </c>
      <c r="M22" s="40">
        <v>0</v>
      </c>
      <c r="N22" s="40">
        <v>25200</v>
      </c>
      <c r="O22" s="40">
        <v>18000</v>
      </c>
      <c r="P22" s="40">
        <v>18000</v>
      </c>
      <c r="Q22" s="40">
        <v>18000</v>
      </c>
      <c r="R22" s="40">
        <v>14400</v>
      </c>
      <c r="S22" s="40">
        <v>20700</v>
      </c>
      <c r="T22" s="40">
        <v>27000</v>
      </c>
      <c r="U22" s="40">
        <v>18000</v>
      </c>
      <c r="V22" s="40">
        <v>18000</v>
      </c>
      <c r="W22" s="40">
        <v>18000</v>
      </c>
      <c r="X22" s="40">
        <v>36000</v>
      </c>
      <c r="Y22" s="50"/>
      <c r="Z22" s="50"/>
      <c r="AA22" s="50"/>
      <c r="AB22" s="50"/>
      <c r="AC22" s="50">
        <f>N22+O22+P22+Q22+R22+S22+T22+U22+V22+W22+X22</f>
        <v>231300</v>
      </c>
      <c r="AD22" s="40">
        <f t="shared" si="0"/>
        <v>231300</v>
      </c>
      <c r="AE22" s="41">
        <f t="shared" si="2"/>
        <v>9840</v>
      </c>
      <c r="AF22" s="12"/>
    </row>
    <row r="23" spans="6:32" ht="15.75" x14ac:dyDescent="0.25">
      <c r="F23" s="42" t="s">
        <v>72</v>
      </c>
      <c r="G23" s="43" t="s">
        <v>73</v>
      </c>
      <c r="H23" s="40">
        <v>147000</v>
      </c>
      <c r="I23" s="40"/>
      <c r="J23" s="40">
        <f>18000+15000</f>
        <v>33000</v>
      </c>
      <c r="K23" s="40"/>
      <c r="L23" s="40">
        <f t="shared" si="1"/>
        <v>180000</v>
      </c>
      <c r="M23" s="40">
        <v>0</v>
      </c>
      <c r="N23" s="40">
        <v>15000</v>
      </c>
      <c r="O23" s="40">
        <v>15000</v>
      </c>
      <c r="P23" s="40">
        <v>15000</v>
      </c>
      <c r="Q23" s="40">
        <v>15000</v>
      </c>
      <c r="R23" s="40">
        <v>15000</v>
      </c>
      <c r="S23" s="40">
        <v>15000</v>
      </c>
      <c r="T23" s="40">
        <v>15000</v>
      </c>
      <c r="U23" s="40">
        <v>15000</v>
      </c>
      <c r="V23" s="40">
        <v>15000</v>
      </c>
      <c r="W23" s="40">
        <v>15000</v>
      </c>
      <c r="X23" s="40">
        <v>30000</v>
      </c>
      <c r="Y23" s="50"/>
      <c r="Z23" s="50"/>
      <c r="AA23" s="50"/>
      <c r="AB23" s="50"/>
      <c r="AC23" s="50">
        <f>N23+O23+P23+Q23+R23+S23+T23+U23+V23+W23+X23</f>
        <v>180000</v>
      </c>
      <c r="AD23" s="40">
        <f t="shared" si="0"/>
        <v>180000</v>
      </c>
      <c r="AE23" s="41">
        <f t="shared" si="2"/>
        <v>0</v>
      </c>
      <c r="AF23" s="12"/>
    </row>
    <row r="24" spans="6:32" ht="15.75" x14ac:dyDescent="0.25">
      <c r="F24" s="42" t="s">
        <v>74</v>
      </c>
      <c r="G24" s="43" t="s">
        <v>75</v>
      </c>
      <c r="H24" s="40">
        <v>54000</v>
      </c>
      <c r="I24" s="40"/>
      <c r="J24" s="40">
        <v>3445.21</v>
      </c>
      <c r="K24" s="40"/>
      <c r="L24" s="40">
        <f t="shared" si="1"/>
        <v>57445.21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0">
        <v>0</v>
      </c>
      <c r="V24" s="40">
        <v>7506.85</v>
      </c>
      <c r="W24" s="40">
        <v>0</v>
      </c>
      <c r="X24" s="40">
        <v>49938.36</v>
      </c>
      <c r="Y24" s="50">
        <v>47500</v>
      </c>
      <c r="Z24" s="50"/>
      <c r="AA24" s="50">
        <f>V24+2438.36</f>
        <v>9945.2100000000009</v>
      </c>
      <c r="AB24" s="50"/>
      <c r="AC24" s="50"/>
      <c r="AD24" s="40">
        <f>SUM(M24:X24)</f>
        <v>57445.21</v>
      </c>
      <c r="AE24" s="41">
        <f t="shared" si="2"/>
        <v>0</v>
      </c>
      <c r="AF24" s="12"/>
    </row>
    <row r="25" spans="6:32" ht="15.75" x14ac:dyDescent="0.25">
      <c r="F25" s="42" t="s">
        <v>76</v>
      </c>
      <c r="G25" s="43" t="s">
        <v>77</v>
      </c>
      <c r="H25" s="40">
        <v>52000</v>
      </c>
      <c r="I25" s="40"/>
      <c r="J25" s="40">
        <v>10000</v>
      </c>
      <c r="K25" s="40"/>
      <c r="L25" s="40">
        <f t="shared" si="1"/>
        <v>62000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57500</v>
      </c>
      <c r="T25" s="40">
        <v>0</v>
      </c>
      <c r="U25" s="40">
        <v>0</v>
      </c>
      <c r="V25" s="40">
        <v>1698.63</v>
      </c>
      <c r="W25" s="40">
        <v>0</v>
      </c>
      <c r="X25" s="40">
        <v>0</v>
      </c>
      <c r="Y25" s="50">
        <v>47500</v>
      </c>
      <c r="Z25" s="50"/>
      <c r="AA25" s="50">
        <f>10000+V25</f>
        <v>11698.630000000001</v>
      </c>
      <c r="AB25" s="50"/>
      <c r="AC25" s="50"/>
      <c r="AD25" s="40">
        <f>SUM(M25:X25)</f>
        <v>59198.63</v>
      </c>
      <c r="AE25" s="41">
        <f t="shared" si="2"/>
        <v>2801.3700000000026</v>
      </c>
      <c r="AF25" s="12"/>
    </row>
    <row r="26" spans="6:32" ht="15.75" x14ac:dyDescent="0.25">
      <c r="F26" s="42" t="s">
        <v>78</v>
      </c>
      <c r="G26" s="43" t="s">
        <v>79</v>
      </c>
      <c r="H26" s="40">
        <v>3500</v>
      </c>
      <c r="I26" s="40"/>
      <c r="J26" s="40"/>
      <c r="K26" s="40"/>
      <c r="L26" s="40">
        <f t="shared" si="1"/>
        <v>3500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40">
        <v>0</v>
      </c>
      <c r="U26" s="40">
        <v>0</v>
      </c>
      <c r="V26" s="40">
        <v>0</v>
      </c>
      <c r="W26" s="40">
        <v>0</v>
      </c>
      <c r="X26" s="40">
        <v>3500</v>
      </c>
      <c r="Y26" s="50">
        <v>3000</v>
      </c>
      <c r="Z26" s="50"/>
      <c r="AA26" s="50">
        <v>500</v>
      </c>
      <c r="AB26" s="50"/>
      <c r="AC26" s="50"/>
      <c r="AD26" s="40">
        <f>SUM(M26:X26)</f>
        <v>3500</v>
      </c>
      <c r="AE26" s="41">
        <f t="shared" si="2"/>
        <v>0</v>
      </c>
      <c r="AF26" s="12"/>
    </row>
    <row r="27" spans="6:32" ht="15.75" x14ac:dyDescent="0.25">
      <c r="F27" s="42" t="s">
        <v>80</v>
      </c>
      <c r="G27" s="43" t="s">
        <v>81</v>
      </c>
      <c r="H27" s="40">
        <v>2500</v>
      </c>
      <c r="I27" s="40"/>
      <c r="J27" s="40">
        <v>25000</v>
      </c>
      <c r="K27" s="40"/>
      <c r="L27" s="40">
        <f t="shared" si="1"/>
        <v>27500</v>
      </c>
      <c r="M27" s="40">
        <v>0</v>
      </c>
      <c r="N27" s="40">
        <v>0</v>
      </c>
      <c r="O27" s="40">
        <v>0</v>
      </c>
      <c r="P27" s="40">
        <v>15500</v>
      </c>
      <c r="Q27" s="40">
        <v>0</v>
      </c>
      <c r="R27" s="40">
        <v>0</v>
      </c>
      <c r="S27" s="40">
        <v>0</v>
      </c>
      <c r="T27" s="40">
        <v>0</v>
      </c>
      <c r="U27" s="40">
        <v>0</v>
      </c>
      <c r="V27" s="40">
        <v>4287.4799999999996</v>
      </c>
      <c r="W27" s="40">
        <v>0</v>
      </c>
      <c r="X27" s="40">
        <v>1400</v>
      </c>
      <c r="Y27" s="50">
        <v>1200</v>
      </c>
      <c r="Z27" s="50"/>
      <c r="AA27" s="50">
        <f>V27+200</f>
        <v>4487.4799999999996</v>
      </c>
      <c r="AB27" s="50"/>
      <c r="AC27" s="50">
        <v>15500</v>
      </c>
      <c r="AD27" s="40">
        <f t="shared" si="0"/>
        <v>21187.48</v>
      </c>
      <c r="AE27" s="41">
        <f t="shared" si="2"/>
        <v>6312.52</v>
      </c>
      <c r="AF27" s="12"/>
    </row>
    <row r="28" spans="6:32" ht="15.75" x14ac:dyDescent="0.25">
      <c r="F28" s="42"/>
      <c r="G28" s="39" t="s">
        <v>82</v>
      </c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1"/>
      <c r="AF28" s="12"/>
    </row>
    <row r="29" spans="6:32" ht="15.75" x14ac:dyDescent="0.25">
      <c r="F29" s="42"/>
      <c r="G29" s="39" t="s">
        <v>83</v>
      </c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1"/>
      <c r="AF29" s="12"/>
    </row>
    <row r="30" spans="6:32" ht="15.75" x14ac:dyDescent="0.25">
      <c r="F30" s="42">
        <v>111</v>
      </c>
      <c r="G30" s="43" t="s">
        <v>84</v>
      </c>
      <c r="H30" s="40">
        <v>1600</v>
      </c>
      <c r="I30" s="40"/>
      <c r="J30" s="40"/>
      <c r="K30" s="40"/>
      <c r="L30" s="40">
        <f>H30+I30+J30-K30</f>
        <v>1600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T30" s="40">
        <v>0</v>
      </c>
      <c r="U30" s="40">
        <v>0</v>
      </c>
      <c r="V30" s="40">
        <v>0</v>
      </c>
      <c r="W30" s="40">
        <v>0</v>
      </c>
      <c r="X30" s="40">
        <v>0</v>
      </c>
      <c r="Y30" s="40"/>
      <c r="Z30" s="40"/>
      <c r="AA30" s="40"/>
      <c r="AB30" s="40"/>
      <c r="AC30" s="40"/>
      <c r="AD30" s="40">
        <f t="shared" si="0"/>
        <v>0</v>
      </c>
      <c r="AE30" s="41">
        <f>+L30-AD30</f>
        <v>1600</v>
      </c>
      <c r="AF30" s="12"/>
    </row>
    <row r="31" spans="6:32" ht="15.75" x14ac:dyDescent="0.25">
      <c r="F31" s="42" t="s">
        <v>85</v>
      </c>
      <c r="G31" s="43" t="s">
        <v>86</v>
      </c>
      <c r="H31" s="40">
        <v>54048.54</v>
      </c>
      <c r="I31" s="40"/>
      <c r="J31" s="40">
        <v>3781.16</v>
      </c>
      <c r="K31" s="40"/>
      <c r="L31" s="40">
        <f t="shared" si="1"/>
        <v>57829.7</v>
      </c>
      <c r="M31" s="40">
        <v>4207</v>
      </c>
      <c r="N31" s="40">
        <v>3074</v>
      </c>
      <c r="O31" s="40">
        <v>4052</v>
      </c>
      <c r="P31" s="40">
        <v>5671.85</v>
      </c>
      <c r="Q31" s="40">
        <v>8778</v>
      </c>
      <c r="R31" s="40">
        <v>4225</v>
      </c>
      <c r="S31" s="40">
        <v>3975</v>
      </c>
      <c r="T31" s="40">
        <v>5517</v>
      </c>
      <c r="U31" s="40">
        <v>4058</v>
      </c>
      <c r="V31" s="40">
        <v>4076.51</v>
      </c>
      <c r="W31" s="40">
        <v>4473.34</v>
      </c>
      <c r="X31" s="40">
        <v>5722</v>
      </c>
      <c r="Y31" s="40">
        <f>2307+3074+2477+2521.85+3083+2650+3975+2367+2204+2302.85+2739.34+2413</f>
        <v>32114.039999999997</v>
      </c>
      <c r="Z31" s="40">
        <v>4120</v>
      </c>
      <c r="AA31" s="40">
        <f>1900+1575+3150+1575+1575+1575+1575+1854+1773.66+1734+3309</f>
        <v>21595.66</v>
      </c>
      <c r="AB31" s="40"/>
      <c r="AD31" s="40">
        <f t="shared" si="0"/>
        <v>57829.7</v>
      </c>
      <c r="AE31" s="41">
        <f>+L31-AD31</f>
        <v>0</v>
      </c>
      <c r="AF31" s="12"/>
    </row>
    <row r="32" spans="6:32" ht="15.75" x14ac:dyDescent="0.25">
      <c r="F32" s="42">
        <v>114</v>
      </c>
      <c r="G32" s="43" t="s">
        <v>87</v>
      </c>
      <c r="H32" s="40">
        <v>1000</v>
      </c>
      <c r="I32" s="40"/>
      <c r="J32" s="40"/>
      <c r="K32" s="40"/>
      <c r="L32" s="40">
        <f t="shared" si="1"/>
        <v>1000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40">
        <v>0</v>
      </c>
      <c r="T32" s="40">
        <v>0</v>
      </c>
      <c r="U32" s="40">
        <v>0</v>
      </c>
      <c r="V32" s="40">
        <v>0</v>
      </c>
      <c r="W32" s="40">
        <v>0</v>
      </c>
      <c r="X32" s="40">
        <v>0</v>
      </c>
      <c r="Y32" s="40"/>
      <c r="Z32" s="40"/>
      <c r="AA32" s="40"/>
      <c r="AB32" s="40"/>
      <c r="AC32" s="40"/>
      <c r="AD32" s="40">
        <f t="shared" si="0"/>
        <v>0</v>
      </c>
      <c r="AE32" s="41">
        <f>+L32-AD32</f>
        <v>1000</v>
      </c>
      <c r="AF32" s="12"/>
    </row>
    <row r="33" spans="6:32" ht="15.75" x14ac:dyDescent="0.25">
      <c r="F33" s="42">
        <v>116</v>
      </c>
      <c r="G33" s="43" t="s">
        <v>88</v>
      </c>
      <c r="H33" s="40">
        <v>1600</v>
      </c>
      <c r="I33" s="40"/>
      <c r="J33" s="40"/>
      <c r="K33" s="40"/>
      <c r="L33" s="40">
        <f t="shared" si="1"/>
        <v>1600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40">
        <v>0</v>
      </c>
      <c r="T33" s="40">
        <v>0</v>
      </c>
      <c r="U33" s="40">
        <v>0</v>
      </c>
      <c r="V33" s="40">
        <v>0</v>
      </c>
      <c r="W33" s="40">
        <v>0</v>
      </c>
      <c r="X33" s="40">
        <v>450</v>
      </c>
      <c r="Y33" s="40">
        <v>450</v>
      </c>
      <c r="Z33" s="40"/>
      <c r="AA33" s="40"/>
      <c r="AB33" s="40"/>
      <c r="AC33" s="40"/>
      <c r="AD33" s="40">
        <f>SUM(M33:X33)</f>
        <v>450</v>
      </c>
      <c r="AE33" s="41">
        <f>+L33-AD33</f>
        <v>1150</v>
      </c>
      <c r="AF33" s="12"/>
    </row>
    <row r="34" spans="6:32" ht="15.75" x14ac:dyDescent="0.25">
      <c r="F34" s="42"/>
      <c r="G34" s="39" t="s">
        <v>89</v>
      </c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1"/>
      <c r="AF34" s="12"/>
    </row>
    <row r="35" spans="6:32" ht="15.75" x14ac:dyDescent="0.25">
      <c r="F35" s="42"/>
      <c r="G35" s="39" t="s">
        <v>90</v>
      </c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1"/>
      <c r="AF35" s="12"/>
    </row>
    <row r="36" spans="6:32" ht="15.75" x14ac:dyDescent="0.25">
      <c r="F36" s="42">
        <v>121</v>
      </c>
      <c r="G36" s="43" t="s">
        <v>91</v>
      </c>
      <c r="H36" s="40">
        <v>30000</v>
      </c>
      <c r="I36" s="40"/>
      <c r="J36" s="40"/>
      <c r="K36" s="40"/>
      <c r="L36" s="40">
        <f t="shared" si="1"/>
        <v>30000</v>
      </c>
      <c r="M36" s="40">
        <v>0</v>
      </c>
      <c r="N36" s="40">
        <v>2050.1999999999998</v>
      </c>
      <c r="O36" s="40">
        <v>0</v>
      </c>
      <c r="P36" s="40">
        <v>24500</v>
      </c>
      <c r="Q36" s="40">
        <v>0</v>
      </c>
      <c r="R36" s="40">
        <v>0</v>
      </c>
      <c r="S36" s="40">
        <v>0</v>
      </c>
      <c r="T36" s="40">
        <v>0</v>
      </c>
      <c r="U36" s="40">
        <v>0</v>
      </c>
      <c r="V36" s="40">
        <v>0</v>
      </c>
      <c r="W36" s="40">
        <v>0</v>
      </c>
      <c r="X36" s="40">
        <v>0</v>
      </c>
      <c r="Y36" s="40">
        <f>2050.2</f>
        <v>2050.1999999999998</v>
      </c>
      <c r="Z36" s="40">
        <f>24500</f>
        <v>24500</v>
      </c>
      <c r="AA36" s="40"/>
      <c r="AB36" s="40"/>
      <c r="AC36" s="40"/>
      <c r="AD36" s="40">
        <f t="shared" si="0"/>
        <v>26550.2</v>
      </c>
      <c r="AE36" s="41">
        <f>+L36-AD36</f>
        <v>3449.7999999999993</v>
      </c>
      <c r="AF36" s="12"/>
    </row>
    <row r="37" spans="6:32" ht="15.75" x14ac:dyDescent="0.25">
      <c r="F37" s="42">
        <v>122</v>
      </c>
      <c r="G37" s="49" t="s">
        <v>92</v>
      </c>
      <c r="H37" s="40">
        <v>3000</v>
      </c>
      <c r="I37" s="40"/>
      <c r="J37" s="40"/>
      <c r="K37" s="40"/>
      <c r="L37" s="40">
        <f t="shared" si="1"/>
        <v>3000</v>
      </c>
      <c r="M37" s="40">
        <v>0</v>
      </c>
      <c r="N37" s="40">
        <v>0</v>
      </c>
      <c r="O37" s="40">
        <v>0</v>
      </c>
      <c r="P37" s="40">
        <v>0</v>
      </c>
      <c r="Q37" s="40">
        <v>0</v>
      </c>
      <c r="R37" s="40">
        <v>0</v>
      </c>
      <c r="S37" s="40">
        <v>0</v>
      </c>
      <c r="T37" s="40">
        <v>0</v>
      </c>
      <c r="U37" s="40">
        <v>378</v>
      </c>
      <c r="V37" s="40">
        <v>0</v>
      </c>
      <c r="W37" s="40">
        <v>85</v>
      </c>
      <c r="X37" s="40">
        <v>0</v>
      </c>
      <c r="Y37" s="40">
        <v>85</v>
      </c>
      <c r="Z37" s="40"/>
      <c r="AA37" s="40">
        <v>378</v>
      </c>
      <c r="AB37" s="40"/>
      <c r="AC37" s="40"/>
      <c r="AD37" s="40">
        <f t="shared" si="0"/>
        <v>463</v>
      </c>
      <c r="AE37" s="41">
        <f>+L37-AD37</f>
        <v>2537</v>
      </c>
      <c r="AF37" s="12"/>
    </row>
    <row r="38" spans="6:32" ht="15.75" x14ac:dyDescent="0.25">
      <c r="F38" s="42"/>
      <c r="G38" s="39" t="s">
        <v>93</v>
      </c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1"/>
      <c r="AF38" s="12"/>
    </row>
    <row r="39" spans="6:32" ht="15.75" x14ac:dyDescent="0.25">
      <c r="F39" s="42" t="s">
        <v>94</v>
      </c>
      <c r="G39" s="43" t="s">
        <v>95</v>
      </c>
      <c r="H39" s="40">
        <f>1785825.41+323599.7</f>
        <v>2109425.11</v>
      </c>
      <c r="I39" s="40"/>
      <c r="J39" s="40"/>
      <c r="K39" s="40"/>
      <c r="L39" s="40">
        <f t="shared" si="1"/>
        <v>2109425.11</v>
      </c>
      <c r="M39" s="40">
        <v>64775</v>
      </c>
      <c r="N39" s="40">
        <v>133026</v>
      </c>
      <c r="O39" s="40">
        <v>0</v>
      </c>
      <c r="P39" s="40">
        <v>0</v>
      </c>
      <c r="Q39" s="40">
        <v>101150</v>
      </c>
      <c r="R39" s="40">
        <v>132550</v>
      </c>
      <c r="S39" s="40">
        <v>13330</v>
      </c>
      <c r="T39" s="40">
        <v>358862</v>
      </c>
      <c r="U39" s="40">
        <v>0</v>
      </c>
      <c r="V39" s="40">
        <v>258733.05</v>
      </c>
      <c r="W39" s="40">
        <v>410366</v>
      </c>
      <c r="X39" s="40">
        <v>10325</v>
      </c>
      <c r="Y39" s="50">
        <f>76846+60996</f>
        <v>137842</v>
      </c>
      <c r="Z39" s="51">
        <f>25910+73605+24304+63525-27730.91-34245+223556-69030+131303.92+59980-16465-65688</f>
        <v>389025.01</v>
      </c>
      <c r="AA39" s="40">
        <f>38865+59421+69025+13330+135306+127429.13+289390+10325</f>
        <v>743091.13</v>
      </c>
      <c r="AB39" s="40">
        <f>27730.91+34245+69030+16465+65688</f>
        <v>213158.91</v>
      </c>
      <c r="AC39" s="40"/>
      <c r="AD39" s="40">
        <f t="shared" si="0"/>
        <v>1483117.05</v>
      </c>
      <c r="AE39" s="41">
        <f>+L39-AD39</f>
        <v>626308.05999999982</v>
      </c>
      <c r="AF39" s="12"/>
    </row>
    <row r="40" spans="6:32" ht="15.75" x14ac:dyDescent="0.25">
      <c r="F40" s="42" t="s">
        <v>96</v>
      </c>
      <c r="G40" s="43" t="s">
        <v>97</v>
      </c>
      <c r="H40" s="40">
        <v>5000</v>
      </c>
      <c r="I40" s="40"/>
      <c r="J40" s="40"/>
      <c r="K40" s="40"/>
      <c r="L40" s="40">
        <f t="shared" si="1"/>
        <v>5000</v>
      </c>
      <c r="M40" s="40">
        <v>0</v>
      </c>
      <c r="N40" s="40">
        <v>0</v>
      </c>
      <c r="O40" s="40">
        <v>0</v>
      </c>
      <c r="P40" s="40">
        <v>0</v>
      </c>
      <c r="Q40" s="40">
        <v>0</v>
      </c>
      <c r="R40" s="40">
        <v>0</v>
      </c>
      <c r="S40" s="40">
        <v>0</v>
      </c>
      <c r="T40" s="40">
        <v>0</v>
      </c>
      <c r="U40" s="40">
        <v>0</v>
      </c>
      <c r="V40" s="40">
        <v>0</v>
      </c>
      <c r="W40" s="40">
        <v>0</v>
      </c>
      <c r="X40" s="40">
        <v>0</v>
      </c>
      <c r="Y40" s="40"/>
      <c r="Z40" s="40"/>
      <c r="AA40" s="40"/>
      <c r="AB40" s="40"/>
      <c r="AC40" s="40"/>
      <c r="AD40" s="40">
        <f t="shared" si="0"/>
        <v>0</v>
      </c>
      <c r="AE40" s="41">
        <f>+L40-AD40</f>
        <v>5000</v>
      </c>
      <c r="AF40" s="12"/>
    </row>
    <row r="41" spans="6:32" ht="15.75" x14ac:dyDescent="0.25">
      <c r="F41" s="42">
        <v>134</v>
      </c>
      <c r="G41" s="43" t="s">
        <v>98</v>
      </c>
      <c r="H41" s="40">
        <v>8000</v>
      </c>
      <c r="I41" s="40"/>
      <c r="J41" s="40"/>
      <c r="K41" s="40"/>
      <c r="L41" s="40">
        <f t="shared" si="1"/>
        <v>8000</v>
      </c>
      <c r="M41" s="40">
        <v>0</v>
      </c>
      <c r="N41" s="40">
        <v>0</v>
      </c>
      <c r="O41" s="40">
        <v>0</v>
      </c>
      <c r="P41" s="40">
        <v>0</v>
      </c>
      <c r="Q41" s="40">
        <v>0</v>
      </c>
      <c r="R41" s="40">
        <v>0</v>
      </c>
      <c r="S41" s="40">
        <v>0</v>
      </c>
      <c r="T41" s="40">
        <v>0</v>
      </c>
      <c r="U41" s="40">
        <v>0</v>
      </c>
      <c r="V41" s="40">
        <v>0</v>
      </c>
      <c r="W41" s="40">
        <v>0</v>
      </c>
      <c r="X41" s="40">
        <v>0</v>
      </c>
      <c r="Y41" s="40"/>
      <c r="Z41" s="40"/>
      <c r="AA41" s="40"/>
      <c r="AB41" s="40"/>
      <c r="AC41" s="40"/>
      <c r="AD41" s="40">
        <f t="shared" si="0"/>
        <v>0</v>
      </c>
      <c r="AE41" s="41">
        <f>+L41-AD41</f>
        <v>8000</v>
      </c>
      <c r="AF41" s="12"/>
    </row>
    <row r="42" spans="6:32" ht="15.75" x14ac:dyDescent="0.25">
      <c r="F42" s="42">
        <v>135</v>
      </c>
      <c r="G42" s="43" t="s">
        <v>99</v>
      </c>
      <c r="H42" s="40">
        <v>5000</v>
      </c>
      <c r="I42" s="40"/>
      <c r="J42" s="40"/>
      <c r="K42" s="40"/>
      <c r="L42" s="40">
        <f t="shared" si="1"/>
        <v>5000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0</v>
      </c>
      <c r="T42" s="40">
        <v>0</v>
      </c>
      <c r="U42" s="40">
        <v>0</v>
      </c>
      <c r="V42" s="40">
        <v>0</v>
      </c>
      <c r="W42" s="40">
        <v>0</v>
      </c>
      <c r="X42" s="40">
        <v>0</v>
      </c>
      <c r="Y42" s="40"/>
      <c r="Z42" s="40"/>
      <c r="AA42" s="40"/>
      <c r="AB42" s="40"/>
      <c r="AC42" s="40"/>
      <c r="AD42" s="40">
        <f t="shared" si="0"/>
        <v>0</v>
      </c>
      <c r="AE42" s="41">
        <f>+L42-AD42</f>
        <v>5000</v>
      </c>
      <c r="AF42" s="12"/>
    </row>
    <row r="43" spans="6:32" ht="15.75" x14ac:dyDescent="0.25">
      <c r="F43" s="52"/>
      <c r="G43" s="39" t="s">
        <v>100</v>
      </c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1"/>
      <c r="AF43" s="12"/>
    </row>
    <row r="44" spans="6:32" ht="15.75" x14ac:dyDescent="0.25">
      <c r="F44" s="42" t="s">
        <v>101</v>
      </c>
      <c r="G44" s="43" t="s">
        <v>102</v>
      </c>
      <c r="H44" s="40">
        <f>1150327.95+320000</f>
        <v>1470327.95</v>
      </c>
      <c r="I44" s="40"/>
      <c r="J44" s="40"/>
      <c r="K44" s="40"/>
      <c r="L44" s="40">
        <f t="shared" si="1"/>
        <v>1470327.95</v>
      </c>
      <c r="M44" s="40">
        <v>63231</v>
      </c>
      <c r="N44" s="40">
        <v>0</v>
      </c>
      <c r="O44" s="40">
        <v>0</v>
      </c>
      <c r="P44" s="40">
        <v>105360.32000000001</v>
      </c>
      <c r="Q44" s="40">
        <v>24246.639999999999</v>
      </c>
      <c r="R44" s="40">
        <v>155302.87</v>
      </c>
      <c r="S44" s="40">
        <v>68177.98</v>
      </c>
      <c r="T44" s="40">
        <v>20319.18</v>
      </c>
      <c r="U44" s="40">
        <v>153384.04999999999</v>
      </c>
      <c r="V44" s="40">
        <v>0</v>
      </c>
      <c r="W44" s="40">
        <v>196209.81</v>
      </c>
      <c r="X44" s="40">
        <v>531318.5</v>
      </c>
      <c r="Y44" s="40">
        <f>24246.64+20985</f>
        <v>45231.64</v>
      </c>
      <c r="Z44" s="40">
        <f>18084+11232+62251.58+155302.87-19528.48-37323.36+24830+T44-77237.44+73521.47-20319.18+84241.57-430.42+36338.3-30447.49-8900</f>
        <v>291934.59999999998</v>
      </c>
      <c r="AA44" s="40">
        <f>33915+43108.74+43347.98+79862.58+90983.24+494980.2</f>
        <v>786197.74</v>
      </c>
      <c r="AB44" s="40">
        <f>19528.48+37323.36+77237.44+20319.18+430.42+30447.49+8900</f>
        <v>194186.37</v>
      </c>
      <c r="AC44" s="40"/>
      <c r="AD44" s="40">
        <f t="shared" si="0"/>
        <v>1317550.3500000001</v>
      </c>
      <c r="AE44" s="41">
        <f>+L44-AD44</f>
        <v>152777.59999999986</v>
      </c>
      <c r="AF44" s="12"/>
    </row>
    <row r="45" spans="6:32" ht="15.75" x14ac:dyDescent="0.25">
      <c r="F45" s="42" t="s">
        <v>103</v>
      </c>
      <c r="G45" s="43" t="s">
        <v>104</v>
      </c>
      <c r="H45" s="40">
        <v>30448.54</v>
      </c>
      <c r="I45" s="40"/>
      <c r="J45" s="40"/>
      <c r="K45" s="40"/>
      <c r="L45" s="40">
        <f t="shared" si="1"/>
        <v>30448.54</v>
      </c>
      <c r="M45" s="40">
        <v>0</v>
      </c>
      <c r="N45" s="40">
        <v>0</v>
      </c>
      <c r="O45" s="40">
        <v>0</v>
      </c>
      <c r="P45" s="40">
        <v>550</v>
      </c>
      <c r="Q45" s="40">
        <v>0</v>
      </c>
      <c r="R45" s="40">
        <v>0</v>
      </c>
      <c r="S45" s="40">
        <v>0</v>
      </c>
      <c r="T45" s="40">
        <v>0</v>
      </c>
      <c r="U45" s="40">
        <v>0</v>
      </c>
      <c r="V45" s="40">
        <v>0</v>
      </c>
      <c r="W45" s="40">
        <v>0</v>
      </c>
      <c r="X45" s="40">
        <v>0</v>
      </c>
      <c r="Y45" s="40"/>
      <c r="Z45" s="40">
        <v>550</v>
      </c>
      <c r="AA45" s="40"/>
      <c r="AB45" s="40"/>
      <c r="AC45" s="40"/>
      <c r="AD45" s="40">
        <f t="shared" si="0"/>
        <v>550</v>
      </c>
      <c r="AE45" s="41">
        <f>+L45-AD45</f>
        <v>29898.54</v>
      </c>
      <c r="AF45" s="12"/>
    </row>
    <row r="46" spans="6:32" ht="15.75" x14ac:dyDescent="0.25">
      <c r="F46" s="42">
        <v>143</v>
      </c>
      <c r="G46" s="43" t="s">
        <v>105</v>
      </c>
      <c r="H46" s="40"/>
      <c r="I46" s="40"/>
      <c r="J46" s="40"/>
      <c r="K46" s="40"/>
      <c r="L46" s="40">
        <f t="shared" si="1"/>
        <v>0</v>
      </c>
      <c r="M46" s="40">
        <v>0</v>
      </c>
      <c r="N46" s="40">
        <v>0</v>
      </c>
      <c r="O46" s="40">
        <v>0</v>
      </c>
      <c r="P46" s="40">
        <v>0</v>
      </c>
      <c r="Q46" s="40">
        <v>0</v>
      </c>
      <c r="R46" s="40">
        <v>0</v>
      </c>
      <c r="S46" s="40">
        <v>0</v>
      </c>
      <c r="T46" s="40">
        <v>0</v>
      </c>
      <c r="U46" s="40">
        <v>0</v>
      </c>
      <c r="V46" s="40">
        <v>0</v>
      </c>
      <c r="W46" s="40">
        <v>0</v>
      </c>
      <c r="X46" s="40">
        <v>0</v>
      </c>
      <c r="Y46" s="40"/>
      <c r="Z46" s="40"/>
      <c r="AA46" s="40"/>
      <c r="AB46" s="40"/>
      <c r="AC46" s="40"/>
      <c r="AD46" s="40">
        <f t="shared" si="0"/>
        <v>0</v>
      </c>
      <c r="AE46" s="41">
        <f>+L46-AD46</f>
        <v>0</v>
      </c>
      <c r="AF46" s="12"/>
    </row>
    <row r="47" spans="6:32" ht="15.75" x14ac:dyDescent="0.25">
      <c r="F47" s="42"/>
      <c r="G47" s="39" t="s">
        <v>106</v>
      </c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1"/>
      <c r="AF47" s="12"/>
    </row>
    <row r="48" spans="6:32" ht="15.75" x14ac:dyDescent="0.25">
      <c r="F48" s="42" t="s">
        <v>107</v>
      </c>
      <c r="G48" s="43" t="s">
        <v>108</v>
      </c>
      <c r="H48" s="40">
        <v>95000</v>
      </c>
      <c r="I48" s="40"/>
      <c r="J48" s="40"/>
      <c r="K48" s="40"/>
      <c r="L48" s="40">
        <f t="shared" si="1"/>
        <v>95000</v>
      </c>
      <c r="M48" s="40">
        <v>0</v>
      </c>
      <c r="N48" s="40">
        <v>0</v>
      </c>
      <c r="O48" s="40">
        <v>0</v>
      </c>
      <c r="P48" s="40">
        <v>0</v>
      </c>
      <c r="Q48" s="40">
        <v>0</v>
      </c>
      <c r="R48" s="40">
        <v>0</v>
      </c>
      <c r="S48" s="40">
        <v>0</v>
      </c>
      <c r="T48" s="40">
        <v>0</v>
      </c>
      <c r="U48" s="40">
        <v>0</v>
      </c>
      <c r="V48" s="40">
        <v>0</v>
      </c>
      <c r="W48" s="40">
        <v>0</v>
      </c>
      <c r="X48" s="40">
        <v>12000</v>
      </c>
      <c r="Y48" s="40"/>
      <c r="Z48" s="50"/>
      <c r="AA48" s="40">
        <v>12000</v>
      </c>
      <c r="AB48" s="40"/>
      <c r="AC48" s="40"/>
      <c r="AD48" s="40">
        <f t="shared" si="0"/>
        <v>12000</v>
      </c>
      <c r="AE48" s="41">
        <f>+L48-AD48</f>
        <v>83000</v>
      </c>
      <c r="AF48" s="12"/>
    </row>
    <row r="49" spans="6:32" ht="15.75" x14ac:dyDescent="0.25">
      <c r="F49" s="42" t="s">
        <v>109</v>
      </c>
      <c r="G49" s="43" t="s">
        <v>110</v>
      </c>
      <c r="H49" s="40">
        <f>38397.98+20000</f>
        <v>58397.98</v>
      </c>
      <c r="I49" s="40"/>
      <c r="J49" s="40"/>
      <c r="K49" s="40"/>
      <c r="L49" s="40">
        <f t="shared" si="1"/>
        <v>58397.98</v>
      </c>
      <c r="M49" s="40">
        <v>0</v>
      </c>
      <c r="N49" s="40">
        <v>0</v>
      </c>
      <c r="O49" s="40">
        <v>3514.48</v>
      </c>
      <c r="P49" s="40">
        <v>7494</v>
      </c>
      <c r="Q49" s="40">
        <v>0</v>
      </c>
      <c r="R49" s="40">
        <v>0</v>
      </c>
      <c r="S49" s="40">
        <v>0</v>
      </c>
      <c r="T49" s="40">
        <v>0</v>
      </c>
      <c r="U49" s="40">
        <v>0</v>
      </c>
      <c r="V49" s="40">
        <v>5407.15</v>
      </c>
      <c r="W49" s="40">
        <v>16566</v>
      </c>
      <c r="X49" s="40">
        <v>0</v>
      </c>
      <c r="Y49" s="40"/>
      <c r="Z49" s="40">
        <f>7494-4134+4055.37+5856-5407.15</f>
        <v>7864.2199999999993</v>
      </c>
      <c r="AA49" s="40">
        <f>3514.48+1351.78+10710</f>
        <v>15576.26</v>
      </c>
      <c r="AB49" s="40">
        <f>4134+5407.15</f>
        <v>9541.15</v>
      </c>
      <c r="AC49" s="40"/>
      <c r="AD49" s="40">
        <f t="shared" si="0"/>
        <v>32981.629999999997</v>
      </c>
      <c r="AE49" s="41">
        <f>+L49-AD49</f>
        <v>25416.350000000006</v>
      </c>
      <c r="AF49" s="12"/>
    </row>
    <row r="50" spans="6:32" ht="15.75" x14ac:dyDescent="0.25">
      <c r="F50" s="42">
        <v>158</v>
      </c>
      <c r="G50" s="43" t="s">
        <v>111</v>
      </c>
      <c r="H50" s="40"/>
      <c r="I50" s="40"/>
      <c r="J50" s="40">
        <f>5000+8000</f>
        <v>13000</v>
      </c>
      <c r="K50" s="40"/>
      <c r="L50" s="40">
        <f t="shared" si="1"/>
        <v>13000</v>
      </c>
      <c r="M50" s="40">
        <v>0</v>
      </c>
      <c r="N50" s="40">
        <v>2390</v>
      </c>
      <c r="O50" s="40">
        <v>0</v>
      </c>
      <c r="P50" s="40">
        <v>0</v>
      </c>
      <c r="Q50" s="40">
        <v>0</v>
      </c>
      <c r="R50" s="40">
        <v>0</v>
      </c>
      <c r="S50" s="40">
        <v>0</v>
      </c>
      <c r="T50" s="40">
        <v>0</v>
      </c>
      <c r="U50" s="40">
        <v>8455</v>
      </c>
      <c r="V50" s="40">
        <v>0</v>
      </c>
      <c r="W50" s="40">
        <v>0</v>
      </c>
      <c r="X50" s="40">
        <v>0</v>
      </c>
      <c r="Y50" s="40">
        <f>2390+U50</f>
        <v>10845</v>
      </c>
      <c r="Z50" s="40"/>
      <c r="AA50" s="40"/>
      <c r="AB50" s="40"/>
      <c r="AC50" s="40"/>
      <c r="AD50" s="40">
        <f t="shared" si="0"/>
        <v>10845</v>
      </c>
      <c r="AE50" s="41">
        <f>+L50-AD50</f>
        <v>2155</v>
      </c>
      <c r="AF50" s="12"/>
    </row>
    <row r="51" spans="6:32" ht="15.75" x14ac:dyDescent="0.25">
      <c r="F51" s="42"/>
      <c r="G51" s="39" t="s">
        <v>112</v>
      </c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1"/>
      <c r="AF51" s="12"/>
    </row>
    <row r="52" spans="6:32" ht="15.75" x14ac:dyDescent="0.25">
      <c r="F52" s="42"/>
      <c r="G52" s="39" t="s">
        <v>113</v>
      </c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1"/>
      <c r="AF52" s="12"/>
    </row>
    <row r="53" spans="6:32" ht="15.75" x14ac:dyDescent="0.25">
      <c r="F53" s="42" t="s">
        <v>114</v>
      </c>
      <c r="G53" s="43" t="s">
        <v>115</v>
      </c>
      <c r="H53" s="40">
        <v>5000</v>
      </c>
      <c r="I53" s="40"/>
      <c r="J53" s="40"/>
      <c r="K53" s="40"/>
      <c r="L53" s="40">
        <f t="shared" si="1"/>
        <v>5000</v>
      </c>
      <c r="M53" s="40">
        <v>0</v>
      </c>
      <c r="N53" s="40">
        <v>0</v>
      </c>
      <c r="O53" s="40">
        <v>200</v>
      </c>
      <c r="P53" s="40">
        <v>0</v>
      </c>
      <c r="Q53" s="40">
        <v>0</v>
      </c>
      <c r="R53" s="40">
        <v>0</v>
      </c>
      <c r="S53" s="40">
        <v>0</v>
      </c>
      <c r="T53" s="40">
        <v>0</v>
      </c>
      <c r="U53" s="40">
        <v>0</v>
      </c>
      <c r="V53" s="40">
        <v>0</v>
      </c>
      <c r="W53" s="40">
        <v>0</v>
      </c>
      <c r="X53" s="40">
        <v>0</v>
      </c>
      <c r="Y53" s="40">
        <v>200</v>
      </c>
      <c r="Z53" s="40"/>
      <c r="AA53" s="40"/>
      <c r="AB53" s="40"/>
      <c r="AC53" s="40"/>
      <c r="AD53" s="40">
        <f t="shared" si="0"/>
        <v>200</v>
      </c>
      <c r="AE53" s="41">
        <f t="shared" ref="AE53:AE61" si="3">+L53-AD53</f>
        <v>4800</v>
      </c>
      <c r="AF53" s="12"/>
    </row>
    <row r="54" spans="6:32" ht="15.75" x14ac:dyDescent="0.25">
      <c r="F54" s="42">
        <v>164</v>
      </c>
      <c r="G54" s="43" t="s">
        <v>116</v>
      </c>
      <c r="H54" s="40"/>
      <c r="I54" s="40"/>
      <c r="J54" s="40"/>
      <c r="K54" s="40"/>
      <c r="L54" s="40">
        <f t="shared" si="1"/>
        <v>0</v>
      </c>
      <c r="M54" s="40">
        <v>0</v>
      </c>
      <c r="N54" s="40">
        <v>0</v>
      </c>
      <c r="O54" s="40">
        <v>0</v>
      </c>
      <c r="P54" s="40">
        <v>0</v>
      </c>
      <c r="Q54" s="40">
        <v>0</v>
      </c>
      <c r="R54" s="40">
        <v>0</v>
      </c>
      <c r="S54" s="40">
        <v>0</v>
      </c>
      <c r="T54" s="40">
        <v>0</v>
      </c>
      <c r="U54" s="40">
        <v>0</v>
      </c>
      <c r="V54" s="40">
        <v>0</v>
      </c>
      <c r="W54" s="40">
        <v>0</v>
      </c>
      <c r="X54" s="40">
        <v>0</v>
      </c>
      <c r="Y54" s="40"/>
      <c r="Z54" s="40"/>
      <c r="AA54" s="40"/>
      <c r="AB54" s="40"/>
      <c r="AC54" s="40"/>
      <c r="AD54" s="40">
        <f t="shared" si="0"/>
        <v>0</v>
      </c>
      <c r="AE54" s="41">
        <f t="shared" si="3"/>
        <v>0</v>
      </c>
      <c r="AF54" s="12"/>
    </row>
    <row r="55" spans="6:32" ht="15.75" x14ac:dyDescent="0.25">
      <c r="F55" s="42">
        <v>165</v>
      </c>
      <c r="G55" s="43" t="s">
        <v>117</v>
      </c>
      <c r="H55" s="40">
        <v>5000</v>
      </c>
      <c r="I55" s="40"/>
      <c r="J55" s="40"/>
      <c r="K55" s="40"/>
      <c r="L55" s="40">
        <f t="shared" si="1"/>
        <v>5000</v>
      </c>
      <c r="M55" s="40">
        <v>0</v>
      </c>
      <c r="N55" s="40">
        <v>0</v>
      </c>
      <c r="O55" s="40">
        <v>0</v>
      </c>
      <c r="P55" s="40">
        <v>0</v>
      </c>
      <c r="Q55" s="40">
        <v>0</v>
      </c>
      <c r="R55" s="40">
        <v>0</v>
      </c>
      <c r="S55" s="40">
        <v>0</v>
      </c>
      <c r="T55" s="40">
        <v>0</v>
      </c>
      <c r="U55" s="40">
        <v>0</v>
      </c>
      <c r="V55" s="40">
        <v>0</v>
      </c>
      <c r="W55" s="40">
        <v>0</v>
      </c>
      <c r="X55" s="40">
        <v>0</v>
      </c>
      <c r="Y55" s="40"/>
      <c r="Z55" s="40"/>
      <c r="AA55" s="40"/>
      <c r="AB55" s="40"/>
      <c r="AC55" s="40"/>
      <c r="AD55" s="40">
        <f t="shared" si="0"/>
        <v>0</v>
      </c>
      <c r="AE55" s="41">
        <f t="shared" si="3"/>
        <v>5000</v>
      </c>
      <c r="AF55" s="12"/>
    </row>
    <row r="56" spans="6:32" ht="15.75" x14ac:dyDescent="0.25">
      <c r="F56" s="42">
        <v>166</v>
      </c>
      <c r="G56" s="43" t="s">
        <v>118</v>
      </c>
      <c r="H56" s="40"/>
      <c r="I56" s="40"/>
      <c r="J56" s="40"/>
      <c r="K56" s="40"/>
      <c r="L56" s="40">
        <f t="shared" si="1"/>
        <v>0</v>
      </c>
      <c r="M56" s="40">
        <v>0</v>
      </c>
      <c r="N56" s="40">
        <v>0</v>
      </c>
      <c r="O56" s="40">
        <v>0</v>
      </c>
      <c r="P56" s="40">
        <v>0</v>
      </c>
      <c r="Q56" s="40">
        <v>0</v>
      </c>
      <c r="R56" s="40">
        <v>0</v>
      </c>
      <c r="S56" s="40">
        <v>0</v>
      </c>
      <c r="T56" s="40">
        <v>0</v>
      </c>
      <c r="U56" s="40">
        <v>0</v>
      </c>
      <c r="V56" s="40">
        <v>0</v>
      </c>
      <c r="W56" s="40">
        <v>0</v>
      </c>
      <c r="X56" s="40">
        <v>0</v>
      </c>
      <c r="Y56" s="40"/>
      <c r="Z56" s="40"/>
      <c r="AA56" s="40"/>
      <c r="AB56" s="40"/>
      <c r="AC56" s="40"/>
      <c r="AD56" s="40">
        <f t="shared" si="0"/>
        <v>0</v>
      </c>
      <c r="AE56" s="41">
        <f t="shared" si="3"/>
        <v>0</v>
      </c>
      <c r="AF56" s="12"/>
    </row>
    <row r="57" spans="6:32" ht="15.75" x14ac:dyDescent="0.25">
      <c r="F57" s="42" t="s">
        <v>119</v>
      </c>
      <c r="G57" s="43" t="s">
        <v>120</v>
      </c>
      <c r="H57" s="40">
        <v>5000</v>
      </c>
      <c r="I57" s="40"/>
      <c r="J57" s="40"/>
      <c r="K57" s="40"/>
      <c r="L57" s="40">
        <f t="shared" si="1"/>
        <v>5000</v>
      </c>
      <c r="M57" s="40">
        <v>0</v>
      </c>
      <c r="N57" s="40">
        <v>200</v>
      </c>
      <c r="O57" s="40">
        <v>0</v>
      </c>
      <c r="P57" s="40">
        <v>0</v>
      </c>
      <c r="Q57" s="40">
        <v>0</v>
      </c>
      <c r="R57" s="40">
        <v>0</v>
      </c>
      <c r="S57" s="40">
        <v>0</v>
      </c>
      <c r="T57" s="40">
        <v>0</v>
      </c>
      <c r="U57" s="40">
        <v>0</v>
      </c>
      <c r="V57" s="40">
        <v>0</v>
      </c>
      <c r="W57" s="40">
        <v>1300</v>
      </c>
      <c r="X57" s="40">
        <v>0</v>
      </c>
      <c r="Y57" s="40">
        <f>200+1300</f>
        <v>1500</v>
      </c>
      <c r="Z57" s="40"/>
      <c r="AA57" s="40"/>
      <c r="AB57" s="40"/>
      <c r="AC57" s="40"/>
      <c r="AD57" s="40">
        <f t="shared" si="0"/>
        <v>1500</v>
      </c>
      <c r="AE57" s="41">
        <f t="shared" si="3"/>
        <v>3500</v>
      </c>
      <c r="AF57" s="12"/>
    </row>
    <row r="58" spans="6:32" ht="15.75" x14ac:dyDescent="0.25">
      <c r="F58" s="42">
        <v>169</v>
      </c>
      <c r="G58" s="43" t="s">
        <v>121</v>
      </c>
      <c r="H58" s="40"/>
      <c r="I58" s="40"/>
      <c r="J58" s="40">
        <f>5000+10000</f>
        <v>15000</v>
      </c>
      <c r="K58" s="40"/>
      <c r="L58" s="40">
        <f t="shared" si="1"/>
        <v>15000</v>
      </c>
      <c r="M58" s="40">
        <v>0</v>
      </c>
      <c r="N58" s="40">
        <v>0</v>
      </c>
      <c r="O58" s="40">
        <v>0</v>
      </c>
      <c r="P58" s="40">
        <v>1625</v>
      </c>
      <c r="Q58" s="40">
        <v>0</v>
      </c>
      <c r="R58" s="40">
        <v>950.08</v>
      </c>
      <c r="S58" s="40">
        <v>0</v>
      </c>
      <c r="T58" s="40">
        <v>0</v>
      </c>
      <c r="U58" s="40">
        <v>0</v>
      </c>
      <c r="V58" s="40">
        <v>0</v>
      </c>
      <c r="W58" s="40">
        <v>0</v>
      </c>
      <c r="X58" s="40">
        <v>0</v>
      </c>
      <c r="Y58" s="40">
        <v>1625</v>
      </c>
      <c r="Z58" s="40"/>
      <c r="AA58" s="40">
        <v>950.08</v>
      </c>
      <c r="AB58" s="40"/>
      <c r="AC58" s="40"/>
      <c r="AD58" s="40">
        <f t="shared" si="0"/>
        <v>2575.08</v>
      </c>
      <c r="AE58" s="41">
        <f t="shared" si="3"/>
        <v>12424.92</v>
      </c>
      <c r="AF58" s="12"/>
    </row>
    <row r="59" spans="6:32" ht="15.75" x14ac:dyDescent="0.25">
      <c r="F59" s="42">
        <v>171</v>
      </c>
      <c r="G59" s="43" t="s">
        <v>122</v>
      </c>
      <c r="H59" s="40">
        <v>35000</v>
      </c>
      <c r="I59" s="40"/>
      <c r="J59" s="40"/>
      <c r="K59" s="40"/>
      <c r="L59" s="40">
        <f t="shared" si="1"/>
        <v>35000</v>
      </c>
      <c r="M59" s="40">
        <v>0</v>
      </c>
      <c r="N59" s="40">
        <v>0</v>
      </c>
      <c r="O59" s="40">
        <v>0</v>
      </c>
      <c r="P59" s="40">
        <v>0</v>
      </c>
      <c r="Q59" s="40">
        <v>0</v>
      </c>
      <c r="R59" s="40">
        <v>0</v>
      </c>
      <c r="S59" s="40">
        <v>0</v>
      </c>
      <c r="T59" s="40">
        <v>12898.99</v>
      </c>
      <c r="U59" s="40">
        <v>0</v>
      </c>
      <c r="V59" s="40">
        <v>0</v>
      </c>
      <c r="W59" s="40">
        <v>0</v>
      </c>
      <c r="X59" s="40">
        <v>0</v>
      </c>
      <c r="Y59" s="40"/>
      <c r="AA59" s="40">
        <v>12898.99</v>
      </c>
      <c r="AB59" s="12"/>
      <c r="AC59" s="40"/>
      <c r="AD59" s="40">
        <f t="shared" si="0"/>
        <v>12898.99</v>
      </c>
      <c r="AE59" s="41">
        <f t="shared" si="3"/>
        <v>22101.010000000002</v>
      </c>
      <c r="AF59" s="12"/>
    </row>
    <row r="60" spans="6:32" ht="15.75" x14ac:dyDescent="0.25">
      <c r="F60" s="42">
        <v>174</v>
      </c>
      <c r="G60" s="43" t="s">
        <v>123</v>
      </c>
      <c r="H60" s="40">
        <v>5000</v>
      </c>
      <c r="I60" s="40"/>
      <c r="J60" s="40"/>
      <c r="K60" s="40"/>
      <c r="L60" s="40">
        <f t="shared" si="1"/>
        <v>5000</v>
      </c>
      <c r="M60" s="40">
        <v>0</v>
      </c>
      <c r="N60" s="40">
        <v>0</v>
      </c>
      <c r="O60" s="40">
        <v>0</v>
      </c>
      <c r="P60" s="40">
        <v>0</v>
      </c>
      <c r="Q60" s="40">
        <v>0</v>
      </c>
      <c r="R60" s="40">
        <v>0</v>
      </c>
      <c r="S60" s="40">
        <v>0</v>
      </c>
      <c r="T60" s="40">
        <v>0</v>
      </c>
      <c r="U60" s="40">
        <v>0</v>
      </c>
      <c r="V60" s="40">
        <v>0</v>
      </c>
      <c r="W60" s="40">
        <v>0</v>
      </c>
      <c r="X60" s="40">
        <v>0</v>
      </c>
      <c r="Y60" s="40"/>
      <c r="Z60" s="40"/>
      <c r="AA60" s="40"/>
      <c r="AB60" s="40"/>
      <c r="AC60" s="40"/>
      <c r="AD60" s="40">
        <f t="shared" si="0"/>
        <v>0</v>
      </c>
      <c r="AE60" s="41">
        <f t="shared" si="3"/>
        <v>5000</v>
      </c>
      <c r="AF60" s="12"/>
    </row>
    <row r="61" spans="6:32" ht="15.75" x14ac:dyDescent="0.25">
      <c r="F61" s="53">
        <v>176</v>
      </c>
      <c r="G61" s="54" t="s">
        <v>124</v>
      </c>
      <c r="H61" s="55"/>
      <c r="I61" s="55"/>
      <c r="J61" s="55"/>
      <c r="K61" s="55"/>
      <c r="L61" s="40">
        <f t="shared" si="1"/>
        <v>0</v>
      </c>
      <c r="M61" s="55">
        <v>0</v>
      </c>
      <c r="N61" s="55">
        <v>0</v>
      </c>
      <c r="O61" s="55">
        <v>0</v>
      </c>
      <c r="P61" s="55">
        <v>0</v>
      </c>
      <c r="Q61" s="55">
        <v>0</v>
      </c>
      <c r="R61" s="55">
        <v>0</v>
      </c>
      <c r="S61" s="55">
        <v>0</v>
      </c>
      <c r="T61" s="55">
        <v>0</v>
      </c>
      <c r="U61" s="55">
        <v>0</v>
      </c>
      <c r="V61" s="55">
        <v>0</v>
      </c>
      <c r="W61" s="55">
        <v>0</v>
      </c>
      <c r="X61" s="55">
        <v>0</v>
      </c>
      <c r="Y61" s="55"/>
      <c r="Z61" s="55"/>
      <c r="AA61" s="55"/>
      <c r="AB61" s="55"/>
      <c r="AC61" s="55"/>
      <c r="AD61" s="40">
        <f t="shared" si="0"/>
        <v>0</v>
      </c>
      <c r="AE61" s="41">
        <f t="shared" si="3"/>
        <v>0</v>
      </c>
      <c r="AF61" s="12"/>
    </row>
    <row r="62" spans="6:32" ht="16.5" thickBot="1" x14ac:dyDescent="0.3">
      <c r="F62" s="56"/>
      <c r="G62" s="57" t="s">
        <v>125</v>
      </c>
      <c r="H62" s="58">
        <f>SUM(H11:H60)</f>
        <v>6023164.4199999999</v>
      </c>
      <c r="I62" s="58">
        <f>SUM(I11:I60)</f>
        <v>85126.080000000002</v>
      </c>
      <c r="J62" s="58">
        <f>SUM(J11:J61)</f>
        <v>142150.27000000002</v>
      </c>
      <c r="K62" s="58">
        <f>SUM(K17:K60)</f>
        <v>0</v>
      </c>
      <c r="L62" s="58">
        <f>SUM(L13:L61)</f>
        <v>6250440.7700000014</v>
      </c>
      <c r="M62" s="58">
        <f>SUM(M11:M61)</f>
        <v>246958.25</v>
      </c>
      <c r="N62" s="58">
        <f>SUM(N11:N61)</f>
        <v>380811.53</v>
      </c>
      <c r="O62" s="58">
        <f>SUM(O11:O61)</f>
        <v>147011.73000000001</v>
      </c>
      <c r="P62" s="58">
        <f>SUM(P13:P61)</f>
        <v>321580.34999999998</v>
      </c>
      <c r="Q62" s="58">
        <f>SUM(Q11:Q61)</f>
        <v>293919.89</v>
      </c>
      <c r="R62" s="58">
        <f>SUM(R11:R61)</f>
        <v>435673.2</v>
      </c>
      <c r="S62" s="58">
        <f>SUM(S11:S61)</f>
        <v>303928.23</v>
      </c>
      <c r="T62" s="58">
        <f>SUM(T11:T61)</f>
        <v>569092.42000000004</v>
      </c>
      <c r="U62" s="58">
        <f>SUM(U12:U61)</f>
        <v>319587.3</v>
      </c>
      <c r="V62" s="58">
        <f>SUM(V11:V61)</f>
        <v>433094.71000000008</v>
      </c>
      <c r="W62" s="58">
        <f>SUM(W13:W61)</f>
        <v>778578.73</v>
      </c>
      <c r="X62" s="58">
        <f>SUM(X11:X61)</f>
        <v>800732.44</v>
      </c>
      <c r="Y62" s="58">
        <f>SUM(Y12:Y61)</f>
        <v>1018488.33</v>
      </c>
      <c r="Z62" s="58">
        <f>SUM(Z12:Z61)</f>
        <v>789633.83</v>
      </c>
      <c r="AA62" s="58">
        <f>SUM(AA12:AA61)</f>
        <v>2294034.1100000003</v>
      </c>
      <c r="AB62" s="58">
        <f>SUM(AB11:AB61)</f>
        <v>502012.51</v>
      </c>
      <c r="AC62" s="58">
        <f>SUM(AC12:AC61)</f>
        <v>426800</v>
      </c>
      <c r="AD62" s="58">
        <f>SUM(AD13:AD61)</f>
        <v>5030968.78</v>
      </c>
      <c r="AE62" s="59">
        <f>SUM(AE13:AE60)</f>
        <v>1219471.9899999995</v>
      </c>
      <c r="AF62" s="12"/>
    </row>
    <row r="63" spans="6:32" ht="15.75" x14ac:dyDescent="0.25">
      <c r="F63" s="35"/>
      <c r="G63" s="30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30"/>
      <c r="AF63" s="12"/>
    </row>
    <row r="64" spans="6:32" ht="15.75" x14ac:dyDescent="0.25">
      <c r="F64" s="35"/>
      <c r="G64" s="30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60"/>
      <c r="AA64" s="48"/>
      <c r="AB64" s="48"/>
      <c r="AC64" s="30"/>
      <c r="AF64" s="12"/>
    </row>
    <row r="65" spans="6:33" ht="16.5" thickBot="1" x14ac:dyDescent="0.3">
      <c r="F65" s="35"/>
      <c r="G65" s="30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30" t="s">
        <v>37</v>
      </c>
      <c r="AF65" s="12"/>
    </row>
    <row r="66" spans="6:33" ht="16.5" thickBot="1" x14ac:dyDescent="0.3">
      <c r="F66" s="35"/>
      <c r="G66" s="30"/>
      <c r="H66" s="48"/>
      <c r="I66" s="48"/>
      <c r="J66" s="140" t="s">
        <v>41</v>
      </c>
      <c r="K66" s="141"/>
      <c r="L66" s="48"/>
      <c r="M66" s="48"/>
      <c r="N66" s="48"/>
      <c r="O66" s="48"/>
      <c r="Y66" s="145" t="s">
        <v>42</v>
      </c>
      <c r="Z66" s="146"/>
      <c r="AA66" s="147"/>
      <c r="AB66" s="35"/>
      <c r="AC66" s="30"/>
      <c r="AD66" s="30"/>
      <c r="AF66" s="12"/>
    </row>
    <row r="67" spans="6:33" ht="45.75" customHeight="1" thickBot="1" x14ac:dyDescent="0.3">
      <c r="F67" s="113" t="s">
        <v>43</v>
      </c>
      <c r="G67" s="114" t="s">
        <v>44</v>
      </c>
      <c r="H67" s="114" t="s">
        <v>126</v>
      </c>
      <c r="I67" s="125" t="str">
        <f>I10</f>
        <v>Ampliacion de Presupuesto</v>
      </c>
      <c r="J67" s="114" t="s">
        <v>47</v>
      </c>
      <c r="K67" s="114" t="s">
        <v>48</v>
      </c>
      <c r="L67" s="114" t="s">
        <v>49</v>
      </c>
      <c r="M67" s="114" t="str">
        <f>M10</f>
        <v>Enero</v>
      </c>
      <c r="N67" s="126" t="s">
        <v>214</v>
      </c>
      <c r="O67" s="126" t="s">
        <v>4</v>
      </c>
      <c r="P67" s="118" t="s">
        <v>5</v>
      </c>
      <c r="Q67" s="118" t="s">
        <v>216</v>
      </c>
      <c r="R67" s="118" t="s">
        <v>7</v>
      </c>
      <c r="S67" s="118" t="s">
        <v>224</v>
      </c>
      <c r="T67" s="118" t="s">
        <v>9</v>
      </c>
      <c r="U67" s="118" t="s">
        <v>10</v>
      </c>
      <c r="V67" s="118" t="s">
        <v>11</v>
      </c>
      <c r="W67" s="118" t="s">
        <v>227</v>
      </c>
      <c r="X67" s="118"/>
      <c r="Y67" s="119">
        <v>0.2</v>
      </c>
      <c r="Z67" s="120">
        <v>0.3</v>
      </c>
      <c r="AA67" s="121">
        <v>0.5</v>
      </c>
      <c r="AB67" s="122" t="s">
        <v>206</v>
      </c>
      <c r="AC67" s="123" t="s">
        <v>205</v>
      </c>
      <c r="AD67" s="117" t="s">
        <v>51</v>
      </c>
      <c r="AE67" s="124" t="s">
        <v>52</v>
      </c>
      <c r="AF67" s="12"/>
    </row>
    <row r="68" spans="6:33" ht="15.75" x14ac:dyDescent="0.25">
      <c r="F68" s="61"/>
      <c r="G68" s="62" t="s">
        <v>127</v>
      </c>
      <c r="H68" s="37">
        <f>+H62</f>
        <v>6023164.4199999999</v>
      </c>
      <c r="I68" s="37">
        <f>I62</f>
        <v>85126.080000000002</v>
      </c>
      <c r="J68" s="63">
        <f>+J62</f>
        <v>142150.27000000002</v>
      </c>
      <c r="K68" s="63">
        <f>+K62</f>
        <v>0</v>
      </c>
      <c r="L68" s="63">
        <f>+L62</f>
        <v>6250440.7700000014</v>
      </c>
      <c r="M68" s="37">
        <f t="shared" ref="M68:AC68" si="4">M62</f>
        <v>246958.25</v>
      </c>
      <c r="N68" s="37">
        <f t="shared" si="4"/>
        <v>380811.53</v>
      </c>
      <c r="O68" s="37">
        <f t="shared" si="4"/>
        <v>147011.73000000001</v>
      </c>
      <c r="P68" s="37">
        <f t="shared" si="4"/>
        <v>321580.34999999998</v>
      </c>
      <c r="Q68" s="37">
        <f t="shared" si="4"/>
        <v>293919.89</v>
      </c>
      <c r="R68" s="37">
        <f t="shared" si="4"/>
        <v>435673.2</v>
      </c>
      <c r="S68" s="37">
        <f t="shared" si="4"/>
        <v>303928.23</v>
      </c>
      <c r="T68" s="37">
        <f>T62</f>
        <v>569092.42000000004</v>
      </c>
      <c r="U68" s="37">
        <f>U62</f>
        <v>319587.3</v>
      </c>
      <c r="V68" s="37">
        <f>V62</f>
        <v>433094.71000000008</v>
      </c>
      <c r="W68" s="37">
        <f>W62</f>
        <v>778578.73</v>
      </c>
      <c r="X68" s="37">
        <f>X62</f>
        <v>800732.44</v>
      </c>
      <c r="Y68" s="37">
        <f t="shared" si="4"/>
        <v>1018488.33</v>
      </c>
      <c r="Z68" s="37">
        <f t="shared" si="4"/>
        <v>789633.83</v>
      </c>
      <c r="AA68" s="37">
        <f t="shared" si="4"/>
        <v>2294034.1100000003</v>
      </c>
      <c r="AB68" s="37">
        <f t="shared" si="4"/>
        <v>502012.51</v>
      </c>
      <c r="AC68" s="37">
        <f t="shared" si="4"/>
        <v>426800</v>
      </c>
      <c r="AD68" s="40">
        <f>AD62</f>
        <v>5030968.78</v>
      </c>
      <c r="AE68" s="64">
        <f>+AE62</f>
        <v>1219471.9899999995</v>
      </c>
      <c r="AF68" s="12"/>
    </row>
    <row r="69" spans="6:33" ht="15.75" x14ac:dyDescent="0.25">
      <c r="F69" s="42"/>
      <c r="G69" s="39" t="s">
        <v>128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1"/>
      <c r="AF69" s="12"/>
    </row>
    <row r="70" spans="6:33" ht="15.75" x14ac:dyDescent="0.25">
      <c r="F70" s="42"/>
      <c r="G70" s="39" t="s">
        <v>129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1"/>
      <c r="AF70" s="12"/>
    </row>
    <row r="71" spans="6:33" ht="15.75" x14ac:dyDescent="0.25">
      <c r="F71" s="42">
        <v>182</v>
      </c>
      <c r="G71" s="43" t="s">
        <v>130</v>
      </c>
      <c r="H71" s="40">
        <v>2500</v>
      </c>
      <c r="I71" s="40"/>
      <c r="J71" s="40"/>
      <c r="K71" s="40"/>
      <c r="L71" s="40">
        <f>+H71+I71+J71-K71</f>
        <v>2500</v>
      </c>
      <c r="M71" s="40">
        <v>0</v>
      </c>
      <c r="N71" s="40">
        <v>0</v>
      </c>
      <c r="O71" s="40">
        <v>0</v>
      </c>
      <c r="P71" s="40">
        <v>0</v>
      </c>
      <c r="Q71" s="40">
        <v>0</v>
      </c>
      <c r="R71" s="40">
        <v>0</v>
      </c>
      <c r="S71" s="40">
        <v>0</v>
      </c>
      <c r="T71" s="40">
        <v>0</v>
      </c>
      <c r="U71" s="40">
        <v>0</v>
      </c>
      <c r="V71" s="40">
        <v>0</v>
      </c>
      <c r="W71" s="40">
        <v>0</v>
      </c>
      <c r="X71" s="40">
        <v>0</v>
      </c>
      <c r="Y71" s="40"/>
      <c r="Z71" s="40"/>
      <c r="AA71" s="40"/>
      <c r="AB71" s="40"/>
      <c r="AC71" s="40"/>
      <c r="AD71" s="40">
        <f>SUM(M71:X71)</f>
        <v>0</v>
      </c>
      <c r="AE71" s="41">
        <f t="shared" ref="AE71:AE77" si="5">+L71-AD71</f>
        <v>2500</v>
      </c>
      <c r="AF71" s="12"/>
    </row>
    <row r="72" spans="6:33" ht="15.75" x14ac:dyDescent="0.25">
      <c r="F72" s="42" t="s">
        <v>131</v>
      </c>
      <c r="G72" s="43" t="s">
        <v>132</v>
      </c>
      <c r="H72" s="40">
        <v>2000</v>
      </c>
      <c r="I72" s="40"/>
      <c r="J72" s="40"/>
      <c r="K72" s="40"/>
      <c r="L72" s="40">
        <f t="shared" ref="L72:L137" si="6">+H72+I72+J72-K72</f>
        <v>2000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40">
        <v>0</v>
      </c>
      <c r="T72" s="40">
        <v>0</v>
      </c>
      <c r="U72" s="40">
        <v>0</v>
      </c>
      <c r="V72" s="40">
        <v>0</v>
      </c>
      <c r="W72" s="40">
        <v>0</v>
      </c>
      <c r="X72" s="40">
        <v>0</v>
      </c>
      <c r="Y72" s="50"/>
      <c r="Z72" s="50"/>
      <c r="AA72" s="50"/>
      <c r="AB72" s="50"/>
      <c r="AC72" s="50"/>
      <c r="AD72" s="40">
        <f t="shared" ref="AD72:AD135" si="7">SUM(M72:X72)</f>
        <v>0</v>
      </c>
      <c r="AE72" s="41">
        <f t="shared" si="5"/>
        <v>2000</v>
      </c>
      <c r="AF72" s="12"/>
    </row>
    <row r="73" spans="6:33" ht="15.75" x14ac:dyDescent="0.25">
      <c r="F73" s="42">
        <v>184</v>
      </c>
      <c r="G73" s="43" t="s">
        <v>232</v>
      </c>
      <c r="H73" s="40"/>
      <c r="I73" s="40"/>
      <c r="J73" s="40">
        <v>5000</v>
      </c>
      <c r="K73" s="40"/>
      <c r="L73" s="40">
        <f t="shared" si="6"/>
        <v>5000</v>
      </c>
      <c r="M73" s="40">
        <v>0</v>
      </c>
      <c r="N73" s="40">
        <v>0</v>
      </c>
      <c r="O73" s="40">
        <v>0</v>
      </c>
      <c r="P73" s="40">
        <v>0</v>
      </c>
      <c r="Q73" s="40">
        <v>0</v>
      </c>
      <c r="R73" s="40">
        <v>0</v>
      </c>
      <c r="S73" s="40">
        <v>0</v>
      </c>
      <c r="T73" s="40">
        <v>0</v>
      </c>
      <c r="U73" s="40">
        <v>0</v>
      </c>
      <c r="V73" s="40">
        <v>0</v>
      </c>
      <c r="W73" s="40">
        <v>0</v>
      </c>
      <c r="X73" s="40">
        <v>5000</v>
      </c>
      <c r="Y73" s="50">
        <v>5000</v>
      </c>
      <c r="Z73" s="50"/>
      <c r="AA73" s="50"/>
      <c r="AB73" s="50"/>
      <c r="AC73" s="50"/>
      <c r="AD73" s="40">
        <f>SUM(M73:X73)</f>
        <v>5000</v>
      </c>
      <c r="AE73" s="41">
        <f t="shared" si="5"/>
        <v>0</v>
      </c>
      <c r="AF73" s="12"/>
    </row>
    <row r="74" spans="6:33" ht="15.75" x14ac:dyDescent="0.25">
      <c r="F74" s="42">
        <v>185</v>
      </c>
      <c r="G74" s="43" t="s">
        <v>133</v>
      </c>
      <c r="H74" s="40">
        <v>27500</v>
      </c>
      <c r="I74" s="40"/>
      <c r="J74" s="40"/>
      <c r="K74" s="40"/>
      <c r="L74" s="40">
        <f t="shared" si="6"/>
        <v>27500</v>
      </c>
      <c r="M74" s="40">
        <v>0</v>
      </c>
      <c r="N74" s="40">
        <v>0</v>
      </c>
      <c r="O74" s="40">
        <v>0</v>
      </c>
      <c r="P74" s="40">
        <v>0</v>
      </c>
      <c r="Q74" s="40">
        <v>0</v>
      </c>
      <c r="R74" s="40">
        <v>0</v>
      </c>
      <c r="S74" s="40">
        <v>0</v>
      </c>
      <c r="T74" s="40">
        <v>0</v>
      </c>
      <c r="U74" s="40">
        <v>0</v>
      </c>
      <c r="V74" s="40">
        <v>0</v>
      </c>
      <c r="W74" s="40">
        <v>0</v>
      </c>
      <c r="X74" s="40">
        <v>0</v>
      </c>
      <c r="Y74" s="50"/>
      <c r="Z74" s="50"/>
      <c r="AA74" s="50"/>
      <c r="AB74" s="50"/>
      <c r="AC74" s="50"/>
      <c r="AD74" s="40">
        <f t="shared" si="7"/>
        <v>0</v>
      </c>
      <c r="AE74" s="41">
        <f t="shared" si="5"/>
        <v>27500</v>
      </c>
      <c r="AF74" s="12"/>
      <c r="AG74" s="12"/>
    </row>
    <row r="75" spans="6:33" ht="15.75" x14ac:dyDescent="0.25">
      <c r="F75" s="42">
        <v>186</v>
      </c>
      <c r="G75" s="43" t="s">
        <v>134</v>
      </c>
      <c r="H75" s="40">
        <v>2000</v>
      </c>
      <c r="I75" s="40"/>
      <c r="J75" s="40"/>
      <c r="K75" s="40"/>
      <c r="L75" s="40">
        <f t="shared" si="6"/>
        <v>2000</v>
      </c>
      <c r="M75" s="40">
        <v>0</v>
      </c>
      <c r="N75" s="40">
        <v>0</v>
      </c>
      <c r="O75" s="40">
        <v>0</v>
      </c>
      <c r="P75" s="40">
        <v>0</v>
      </c>
      <c r="Q75" s="40">
        <v>0</v>
      </c>
      <c r="R75" s="40">
        <v>0</v>
      </c>
      <c r="S75" s="40">
        <v>0</v>
      </c>
      <c r="T75" s="40">
        <v>0</v>
      </c>
      <c r="U75" s="40">
        <v>0</v>
      </c>
      <c r="V75" s="40">
        <v>0</v>
      </c>
      <c r="W75" s="40">
        <v>0</v>
      </c>
      <c r="X75" s="40">
        <v>0</v>
      </c>
      <c r="Y75" s="50"/>
      <c r="Z75" s="50"/>
      <c r="AA75" s="50"/>
      <c r="AB75" s="50"/>
      <c r="AC75" s="50"/>
      <c r="AD75" s="40">
        <f t="shared" si="7"/>
        <v>0</v>
      </c>
      <c r="AE75" s="41">
        <f t="shared" si="5"/>
        <v>2000</v>
      </c>
      <c r="AF75" s="12"/>
    </row>
    <row r="76" spans="6:33" ht="15.75" x14ac:dyDescent="0.25">
      <c r="F76" s="42">
        <v>188</v>
      </c>
      <c r="G76" s="43" t="s">
        <v>228</v>
      </c>
      <c r="H76" s="40"/>
      <c r="I76" s="40"/>
      <c r="J76" s="40">
        <v>10000</v>
      </c>
      <c r="K76" s="40"/>
      <c r="L76" s="40">
        <f t="shared" si="6"/>
        <v>10000</v>
      </c>
      <c r="M76" s="40">
        <v>0</v>
      </c>
      <c r="N76" s="40">
        <v>0</v>
      </c>
      <c r="O76" s="40">
        <v>0</v>
      </c>
      <c r="P76" s="40">
        <v>0</v>
      </c>
      <c r="Q76" s="40">
        <v>0</v>
      </c>
      <c r="R76" s="40">
        <v>0</v>
      </c>
      <c r="S76" s="40">
        <v>0</v>
      </c>
      <c r="T76" s="40">
        <v>0</v>
      </c>
      <c r="U76" s="40">
        <v>0</v>
      </c>
      <c r="V76" s="40">
        <v>0</v>
      </c>
      <c r="W76" s="40">
        <v>8060</v>
      </c>
      <c r="X76" s="40">
        <v>0</v>
      </c>
      <c r="Y76" s="50"/>
      <c r="Z76" s="50"/>
      <c r="AA76" s="50">
        <v>8060</v>
      </c>
      <c r="AB76" s="50"/>
      <c r="AC76" s="50"/>
      <c r="AD76" s="40">
        <f t="shared" si="7"/>
        <v>8060</v>
      </c>
      <c r="AE76" s="41">
        <f t="shared" si="5"/>
        <v>1940</v>
      </c>
      <c r="AF76" s="12"/>
    </row>
    <row r="77" spans="6:33" ht="15.75" x14ac:dyDescent="0.25">
      <c r="F77" s="42">
        <v>189</v>
      </c>
      <c r="G77" s="43" t="s">
        <v>135</v>
      </c>
      <c r="H77" s="40">
        <v>265000</v>
      </c>
      <c r="I77" s="40">
        <f>42563.04*9</f>
        <v>383067.36</v>
      </c>
      <c r="J77" s="40">
        <f>250000+100000+150000+75086.21</f>
        <v>575086.21</v>
      </c>
      <c r="K77" s="40"/>
      <c r="L77" s="40">
        <f t="shared" si="6"/>
        <v>1223153.5699999998</v>
      </c>
      <c r="M77" s="40">
        <v>26125</v>
      </c>
      <c r="N77" s="40">
        <v>28230.26</v>
      </c>
      <c r="O77" s="40">
        <v>89444.71</v>
      </c>
      <c r="P77" s="40">
        <v>118038.04</v>
      </c>
      <c r="Q77" s="40">
        <v>89948.04</v>
      </c>
      <c r="R77" s="40">
        <v>82797.039999999994</v>
      </c>
      <c r="S77" s="40">
        <v>98475.04</v>
      </c>
      <c r="T77" s="40">
        <v>76188.039999999994</v>
      </c>
      <c r="U77" s="40">
        <v>76188.039999999994</v>
      </c>
      <c r="V77" s="40">
        <v>95148.04</v>
      </c>
      <c r="W77" s="40">
        <v>101915.04</v>
      </c>
      <c r="X77" s="40">
        <v>85278.04</v>
      </c>
      <c r="Y77" s="50">
        <f>5000+5000+5000+5000+30000+5000+7500+13600+12500+12500+12500+5000+7500+5000+7500+1090+5000+7500</f>
        <v>152190</v>
      </c>
      <c r="Z77" s="51">
        <f>5189.52+5189.52+2105.26+67363.16+58752.56-42563.04-42563.04+42563.04+6749.52+53261.56-42563.04+23556.52+42563.04-42563.04+5189.52+42563.04-42563.04+42563.04-42563.04+5189.52+5189.52+1160-16527+65479.56+42563.04+5189.52-42563.04-42563.04</f>
        <v>165349.13999999993</v>
      </c>
      <c r="AA77" s="50">
        <f>15935.48+15935.48+17081.55+24285.48+28135.48+15935.48+19855.48+15935.48+15935.48+15935.48+1800+16000+23935.48+23935.48</f>
        <v>250641.83000000005</v>
      </c>
      <c r="AB77" s="50">
        <f>42563.04+42563.04+42563.04+42563.04+42563.04+42563.04+42563.04+16527+42563.04+42563.04</f>
        <v>399594.36</v>
      </c>
      <c r="AC77" s="50"/>
      <c r="AD77" s="40">
        <f t="shared" si="7"/>
        <v>967775.33000000019</v>
      </c>
      <c r="AE77" s="41">
        <f t="shared" si="5"/>
        <v>255378.23999999964</v>
      </c>
      <c r="AF77" s="12"/>
      <c r="AG77" s="65"/>
    </row>
    <row r="78" spans="6:33" ht="15.75" x14ac:dyDescent="0.25">
      <c r="F78" s="42"/>
      <c r="G78" s="39" t="s">
        <v>136</v>
      </c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50"/>
      <c r="Z78" s="50"/>
      <c r="AA78" s="50"/>
      <c r="AB78" s="50"/>
      <c r="AC78" s="50"/>
      <c r="AD78" s="40"/>
      <c r="AE78" s="41"/>
      <c r="AF78" s="12"/>
    </row>
    <row r="79" spans="6:33" ht="15.75" x14ac:dyDescent="0.25">
      <c r="F79" s="42" t="s">
        <v>137</v>
      </c>
      <c r="G79" s="43" t="s">
        <v>138</v>
      </c>
      <c r="H79" s="40">
        <f>103996.24+44611.01</f>
        <v>148607.25</v>
      </c>
      <c r="I79" s="40"/>
      <c r="J79" s="40"/>
      <c r="K79" s="40"/>
      <c r="L79" s="40">
        <f t="shared" si="6"/>
        <v>148607.25</v>
      </c>
      <c r="M79" s="40">
        <v>915.84</v>
      </c>
      <c r="N79" s="40">
        <v>0</v>
      </c>
      <c r="O79" s="40">
        <v>1869.84</v>
      </c>
      <c r="P79" s="40">
        <v>0</v>
      </c>
      <c r="Q79" s="40">
        <v>530.88</v>
      </c>
      <c r="R79" s="40">
        <v>4263.09</v>
      </c>
      <c r="S79" s="40">
        <v>0</v>
      </c>
      <c r="T79" s="40">
        <v>5974.92</v>
      </c>
      <c r="U79" s="40">
        <v>2850.26</v>
      </c>
      <c r="V79" s="40">
        <v>7345.8</v>
      </c>
      <c r="W79" s="40">
        <v>1658.97</v>
      </c>
      <c r="X79" s="40">
        <v>10611.52</v>
      </c>
      <c r="Y79" s="50">
        <f>792.33</f>
        <v>792.33</v>
      </c>
      <c r="Z79" s="50">
        <f>1373.76+228.96+530.88+1249.74+722.2-457.92-686.88+3465.52-2577.12+1754+3232.35+649.98-722.2+324.99-1769.39</f>
        <v>7318.8699999999981</v>
      </c>
      <c r="AA79" s="50">
        <f>496.08+686.88+2291.15+2509.4+1096.26+4113.45+216.66+10286.53</f>
        <v>21696.410000000003</v>
      </c>
      <c r="AB79" s="50">
        <f>457.92+686.88+2577.12+722.2+1769.39</f>
        <v>6213.51</v>
      </c>
      <c r="AC79" s="50"/>
      <c r="AD79" s="40">
        <f t="shared" si="7"/>
        <v>36021.120000000003</v>
      </c>
      <c r="AE79" s="41">
        <f t="shared" ref="AE79:AE84" si="8">+L79-AD79</f>
        <v>112586.13</v>
      </c>
      <c r="AF79" s="12"/>
      <c r="AG79" s="12"/>
    </row>
    <row r="80" spans="6:33" ht="15.75" x14ac:dyDescent="0.25">
      <c r="F80" s="42">
        <v>194</v>
      </c>
      <c r="G80" s="43" t="s">
        <v>139</v>
      </c>
      <c r="H80" s="47">
        <v>2500</v>
      </c>
      <c r="I80" s="40"/>
      <c r="J80" s="40"/>
      <c r="K80" s="40"/>
      <c r="L80" s="40">
        <f t="shared" si="6"/>
        <v>2500</v>
      </c>
      <c r="M80" s="40">
        <v>0</v>
      </c>
      <c r="N80" s="40">
        <v>0</v>
      </c>
      <c r="O80" s="40">
        <v>0</v>
      </c>
      <c r="P80" s="40">
        <v>0</v>
      </c>
      <c r="Q80" s="40">
        <v>0</v>
      </c>
      <c r="R80" s="40">
        <v>0</v>
      </c>
      <c r="S80" s="40">
        <v>0</v>
      </c>
      <c r="T80" s="40">
        <v>0</v>
      </c>
      <c r="U80" s="40">
        <v>0</v>
      </c>
      <c r="V80" s="40">
        <v>0</v>
      </c>
      <c r="W80" s="40">
        <v>0</v>
      </c>
      <c r="X80" s="40">
        <v>0</v>
      </c>
      <c r="Y80" s="50"/>
      <c r="Z80" s="50"/>
      <c r="AA80" s="50"/>
      <c r="AB80" s="50"/>
      <c r="AC80" s="50"/>
      <c r="AD80" s="40">
        <f t="shared" si="7"/>
        <v>0</v>
      </c>
      <c r="AE80" s="41">
        <f t="shared" si="8"/>
        <v>2500</v>
      </c>
      <c r="AF80" s="12"/>
    </row>
    <row r="81" spans="6:32" ht="15.75" x14ac:dyDescent="0.25">
      <c r="F81" s="42" t="s">
        <v>140</v>
      </c>
      <c r="G81" s="43" t="s">
        <v>141</v>
      </c>
      <c r="H81" s="40">
        <v>5000</v>
      </c>
      <c r="I81" s="40"/>
      <c r="J81" s="40"/>
      <c r="K81" s="40"/>
      <c r="L81" s="40">
        <f t="shared" si="6"/>
        <v>5000</v>
      </c>
      <c r="M81" s="40">
        <v>0</v>
      </c>
      <c r="N81" s="40">
        <v>0</v>
      </c>
      <c r="O81" s="40">
        <v>0</v>
      </c>
      <c r="P81" s="40">
        <v>0</v>
      </c>
      <c r="Q81" s="40">
        <v>0</v>
      </c>
      <c r="R81" s="40">
        <v>0</v>
      </c>
      <c r="S81" s="40">
        <v>0</v>
      </c>
      <c r="T81" s="40">
        <v>0</v>
      </c>
      <c r="U81" s="40">
        <v>0</v>
      </c>
      <c r="V81" s="40">
        <v>0</v>
      </c>
      <c r="W81" s="40">
        <v>0</v>
      </c>
      <c r="X81" s="40">
        <v>0</v>
      </c>
      <c r="Y81" s="50"/>
      <c r="Z81" s="50"/>
      <c r="AA81" s="50"/>
      <c r="AB81" s="50"/>
      <c r="AC81" s="50"/>
      <c r="AD81" s="40">
        <f t="shared" si="7"/>
        <v>0</v>
      </c>
      <c r="AE81" s="41">
        <f t="shared" si="8"/>
        <v>5000</v>
      </c>
      <c r="AF81" s="12"/>
    </row>
    <row r="82" spans="6:32" ht="15.75" x14ac:dyDescent="0.25">
      <c r="F82" s="42">
        <v>196</v>
      </c>
      <c r="G82" s="43" t="s">
        <v>142</v>
      </c>
      <c r="H82" s="40">
        <v>170000</v>
      </c>
      <c r="I82" s="40"/>
      <c r="J82" s="40">
        <v>3318.06</v>
      </c>
      <c r="K82" s="40"/>
      <c r="L82" s="40">
        <f t="shared" si="6"/>
        <v>173318.06</v>
      </c>
      <c r="M82" s="40">
        <v>0</v>
      </c>
      <c r="N82" s="40">
        <v>7800</v>
      </c>
      <c r="O82" s="40">
        <v>0</v>
      </c>
      <c r="P82" s="40">
        <v>103308.03</v>
      </c>
      <c r="Q82" s="40">
        <v>0</v>
      </c>
      <c r="R82" s="40">
        <v>4875.1099999999997</v>
      </c>
      <c r="S82" s="40">
        <v>4714.08</v>
      </c>
      <c r="T82" s="40">
        <v>0</v>
      </c>
      <c r="U82" s="40">
        <v>12276.25</v>
      </c>
      <c r="V82" s="40">
        <v>0</v>
      </c>
      <c r="W82" s="40">
        <v>15785</v>
      </c>
      <c r="X82" s="40">
        <v>24559.59</v>
      </c>
      <c r="Y82" s="40"/>
      <c r="Z82" s="40">
        <f>103308.03+4714.08+12276.25-12276.25+12786.48</f>
        <v>120808.59</v>
      </c>
      <c r="AA82" s="40">
        <f>7800+4875.11+15785</f>
        <v>28460.11</v>
      </c>
      <c r="AB82" s="40">
        <f>12276.25</f>
        <v>12276.25</v>
      </c>
      <c r="AC82" s="40">
        <f>3523.11+8250</f>
        <v>11773.11</v>
      </c>
      <c r="AD82" s="40">
        <f t="shared" si="7"/>
        <v>173318.06</v>
      </c>
      <c r="AE82" s="41">
        <f t="shared" si="8"/>
        <v>0</v>
      </c>
      <c r="AF82" s="12"/>
    </row>
    <row r="83" spans="6:32" ht="15.75" x14ac:dyDescent="0.25">
      <c r="F83" s="42">
        <v>197</v>
      </c>
      <c r="G83" s="43" t="s">
        <v>209</v>
      </c>
      <c r="H83" s="40"/>
      <c r="I83" s="40"/>
      <c r="J83" s="40"/>
      <c r="K83" s="40"/>
      <c r="L83" s="40"/>
      <c r="M83" s="40">
        <v>0</v>
      </c>
      <c r="N83" s="40">
        <v>0</v>
      </c>
      <c r="O83" s="40">
        <v>0</v>
      </c>
      <c r="P83" s="40">
        <v>0</v>
      </c>
      <c r="Q83" s="40">
        <v>0</v>
      </c>
      <c r="R83" s="40">
        <v>0</v>
      </c>
      <c r="S83" s="40">
        <v>0</v>
      </c>
      <c r="T83" s="40">
        <v>0</v>
      </c>
      <c r="U83" s="40">
        <v>0</v>
      </c>
      <c r="V83" s="40">
        <v>0</v>
      </c>
      <c r="W83" s="40">
        <v>0</v>
      </c>
      <c r="X83" s="40">
        <v>0</v>
      </c>
      <c r="Y83" s="40"/>
      <c r="Z83" s="40"/>
      <c r="AA83" s="40"/>
      <c r="AB83" s="40"/>
      <c r="AC83" s="40"/>
      <c r="AD83" s="40">
        <f t="shared" si="7"/>
        <v>0</v>
      </c>
      <c r="AE83" s="41">
        <f t="shared" si="8"/>
        <v>0</v>
      </c>
      <c r="AF83" s="12"/>
    </row>
    <row r="84" spans="6:32" ht="15.75" x14ac:dyDescent="0.25">
      <c r="F84" s="42">
        <v>199</v>
      </c>
      <c r="G84" s="43" t="s">
        <v>143</v>
      </c>
      <c r="H84" s="40">
        <v>272500</v>
      </c>
      <c r="I84" s="40"/>
      <c r="J84" s="40"/>
      <c r="K84" s="40"/>
      <c r="L84" s="40">
        <f t="shared" si="6"/>
        <v>272500</v>
      </c>
      <c r="M84" s="40">
        <v>0</v>
      </c>
      <c r="N84" s="40">
        <v>1129</v>
      </c>
      <c r="O84" s="40">
        <v>1495</v>
      </c>
      <c r="P84" s="40">
        <v>3320</v>
      </c>
      <c r="Q84" s="40">
        <v>6265</v>
      </c>
      <c r="R84" s="40">
        <v>1450</v>
      </c>
      <c r="S84" s="40">
        <v>1560</v>
      </c>
      <c r="T84" s="40">
        <v>1460</v>
      </c>
      <c r="U84" s="40">
        <v>1450</v>
      </c>
      <c r="V84" s="40">
        <v>1465</v>
      </c>
      <c r="W84" s="40">
        <v>2910</v>
      </c>
      <c r="X84" s="40">
        <v>47849.72</v>
      </c>
      <c r="Y84" s="50">
        <f>79+735+40+10+15+20+65</f>
        <v>964</v>
      </c>
      <c r="Z84" s="40">
        <f>45+420+2220+1440</f>
        <v>4125</v>
      </c>
      <c r="AA84" s="50">
        <f>1050+1450+1450+1450+3310+1450+1520+1450+1450+1450+1450+47784.72</f>
        <v>65264.72</v>
      </c>
      <c r="AB84" s="40"/>
      <c r="AC84" s="40"/>
      <c r="AD84" s="40">
        <f t="shared" si="7"/>
        <v>70353.72</v>
      </c>
      <c r="AE84" s="41">
        <f t="shared" si="8"/>
        <v>202146.28</v>
      </c>
      <c r="AF84" s="12"/>
    </row>
    <row r="85" spans="6:32" ht="15.75" x14ac:dyDescent="0.25">
      <c r="F85" s="66"/>
      <c r="G85" s="39" t="s">
        <v>144</v>
      </c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1"/>
      <c r="AF85" s="12"/>
    </row>
    <row r="86" spans="6:32" ht="15.75" x14ac:dyDescent="0.25">
      <c r="F86" s="66"/>
      <c r="G86" s="39" t="s">
        <v>145</v>
      </c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1"/>
      <c r="AF86" s="12"/>
    </row>
    <row r="87" spans="6:32" ht="15.75" x14ac:dyDescent="0.25">
      <c r="F87" s="42" t="s">
        <v>146</v>
      </c>
      <c r="G87" s="43" t="s">
        <v>147</v>
      </c>
      <c r="H87" s="40">
        <v>200000</v>
      </c>
      <c r="I87" s="40"/>
      <c r="J87" s="40"/>
      <c r="K87" s="40"/>
      <c r="L87" s="40">
        <f t="shared" si="6"/>
        <v>200000</v>
      </c>
      <c r="M87" s="40">
        <v>0</v>
      </c>
      <c r="N87" s="40">
        <v>25377.29</v>
      </c>
      <c r="O87" s="40">
        <v>6594</v>
      </c>
      <c r="P87" s="40">
        <v>4863.75</v>
      </c>
      <c r="Q87" s="40">
        <v>48301.62</v>
      </c>
      <c r="R87" s="40">
        <v>19101.57</v>
      </c>
      <c r="S87" s="40">
        <v>17656.7</v>
      </c>
      <c r="T87" s="40">
        <v>12736</v>
      </c>
      <c r="U87" s="40">
        <v>1383.9</v>
      </c>
      <c r="V87" s="40">
        <v>8604.7999999999993</v>
      </c>
      <c r="W87" s="40">
        <v>4128</v>
      </c>
      <c r="X87" s="40">
        <v>20605.3</v>
      </c>
      <c r="Y87" s="40">
        <f>2515+2716+3916+886+3876.6+3736+595+2944.5+2047.5+6875.6</f>
        <v>30108.199999999997</v>
      </c>
      <c r="Z87" s="40">
        <f>2860+3153.75+43516.72+1560</f>
        <v>51090.47</v>
      </c>
      <c r="AA87" s="40">
        <f>22862.29+1018+1710+868.9+18215.57+13780.1+9000+788.9+4100.3+2080.5+13729.7</f>
        <v>88154.26</v>
      </c>
      <c r="AB87" s="40"/>
      <c r="AC87" s="40"/>
      <c r="AD87" s="40">
        <f t="shared" si="7"/>
        <v>169352.92999999996</v>
      </c>
      <c r="AE87" s="41">
        <f t="shared" ref="AE87:AE95" si="9">+L87-AD87</f>
        <v>30647.070000000036</v>
      </c>
      <c r="AF87" s="12"/>
    </row>
    <row r="88" spans="6:32" ht="15.75" x14ac:dyDescent="0.25">
      <c r="F88" s="42">
        <v>214</v>
      </c>
      <c r="G88" s="43" t="s">
        <v>148</v>
      </c>
      <c r="H88" s="40">
        <v>77000</v>
      </c>
      <c r="I88" s="40"/>
      <c r="J88" s="40"/>
      <c r="K88" s="40"/>
      <c r="L88" s="40">
        <f t="shared" si="6"/>
        <v>77000</v>
      </c>
      <c r="M88" s="40">
        <v>0</v>
      </c>
      <c r="N88" s="40">
        <v>0</v>
      </c>
      <c r="O88" s="40">
        <v>0</v>
      </c>
      <c r="P88" s="40">
        <v>0</v>
      </c>
      <c r="Q88" s="40">
        <v>0</v>
      </c>
      <c r="R88" s="40">
        <v>0</v>
      </c>
      <c r="S88" s="40">
        <v>0</v>
      </c>
      <c r="T88" s="40">
        <v>0</v>
      </c>
      <c r="U88" s="40">
        <v>0</v>
      </c>
      <c r="V88" s="40">
        <v>0</v>
      </c>
      <c r="W88" s="40">
        <v>0</v>
      </c>
      <c r="X88" s="40">
        <v>0</v>
      </c>
      <c r="Y88" s="40"/>
      <c r="Z88" s="40"/>
      <c r="AA88" s="40"/>
      <c r="AB88" s="40"/>
      <c r="AC88" s="40"/>
      <c r="AD88" s="40">
        <f t="shared" si="7"/>
        <v>0</v>
      </c>
      <c r="AE88" s="41">
        <f t="shared" si="9"/>
        <v>77000</v>
      </c>
      <c r="AF88" s="12"/>
    </row>
    <row r="89" spans="6:32" ht="15.75" x14ac:dyDescent="0.25">
      <c r="F89" s="42">
        <v>233</v>
      </c>
      <c r="G89" s="43" t="s">
        <v>149</v>
      </c>
      <c r="H89" s="40">
        <v>125000</v>
      </c>
      <c r="I89" s="40"/>
      <c r="J89" s="40"/>
      <c r="K89" s="40"/>
      <c r="L89" s="40">
        <f t="shared" si="6"/>
        <v>125000</v>
      </c>
      <c r="M89" s="40">
        <v>0</v>
      </c>
      <c r="N89" s="40">
        <v>7000</v>
      </c>
      <c r="O89" s="40">
        <v>0</v>
      </c>
      <c r="P89" s="40">
        <v>7642.86</v>
      </c>
      <c r="Q89" s="40">
        <v>43250</v>
      </c>
      <c r="R89" s="40">
        <v>0</v>
      </c>
      <c r="S89" s="40">
        <v>1925</v>
      </c>
      <c r="T89" s="40">
        <v>0</v>
      </c>
      <c r="U89" s="40">
        <v>0</v>
      </c>
      <c r="V89" s="40">
        <v>15850</v>
      </c>
      <c r="W89" s="40">
        <v>0</v>
      </c>
      <c r="X89" s="40">
        <v>45805</v>
      </c>
      <c r="Y89" s="40">
        <f>4950</f>
        <v>4950</v>
      </c>
      <c r="Z89" s="40">
        <f>7642.86+21365+15850-3400</f>
        <v>41457.86</v>
      </c>
      <c r="AA89" s="40">
        <f>7000+16935+1925+45805</f>
        <v>71665</v>
      </c>
      <c r="AB89" s="40">
        <f>3400</f>
        <v>3400</v>
      </c>
      <c r="AC89" s="40"/>
      <c r="AD89" s="40">
        <f t="shared" si="7"/>
        <v>121472.86</v>
      </c>
      <c r="AE89" s="41">
        <f t="shared" si="9"/>
        <v>3527.1399999999994</v>
      </c>
      <c r="AF89" s="12"/>
    </row>
    <row r="90" spans="6:32" ht="15.75" x14ac:dyDescent="0.25">
      <c r="F90" s="42">
        <v>239</v>
      </c>
      <c r="G90" s="43" t="s">
        <v>150</v>
      </c>
      <c r="H90" s="40">
        <v>5000</v>
      </c>
      <c r="I90" s="40"/>
      <c r="J90" s="40"/>
      <c r="K90" s="40"/>
      <c r="L90" s="40">
        <f t="shared" si="6"/>
        <v>5000</v>
      </c>
      <c r="M90" s="40">
        <v>0</v>
      </c>
      <c r="N90" s="40">
        <v>0</v>
      </c>
      <c r="O90" s="40">
        <v>0</v>
      </c>
      <c r="P90" s="40">
        <v>0</v>
      </c>
      <c r="Q90" s="40">
        <v>0</v>
      </c>
      <c r="R90" s="40">
        <v>0</v>
      </c>
      <c r="S90" s="40">
        <v>0</v>
      </c>
      <c r="T90" s="40">
        <v>0</v>
      </c>
      <c r="U90" s="40">
        <v>0</v>
      </c>
      <c r="V90" s="40">
        <v>0</v>
      </c>
      <c r="W90" s="40">
        <v>0</v>
      </c>
      <c r="X90" s="40">
        <v>0</v>
      </c>
      <c r="Y90" s="40"/>
      <c r="Z90" s="40"/>
      <c r="AA90" s="40"/>
      <c r="AB90" s="40"/>
      <c r="AC90" s="40"/>
      <c r="AD90" s="40">
        <f t="shared" si="7"/>
        <v>0</v>
      </c>
      <c r="AE90" s="41">
        <f t="shared" si="9"/>
        <v>5000</v>
      </c>
      <c r="AF90" s="12"/>
    </row>
    <row r="91" spans="6:32" ht="15.75" x14ac:dyDescent="0.25">
      <c r="F91" s="42">
        <v>241</v>
      </c>
      <c r="G91" s="43" t="s">
        <v>151</v>
      </c>
      <c r="H91" s="40">
        <v>2100</v>
      </c>
      <c r="I91" s="40"/>
      <c r="J91" s="40"/>
      <c r="K91" s="40"/>
      <c r="L91" s="40">
        <f t="shared" si="6"/>
        <v>2100</v>
      </c>
      <c r="M91" s="40">
        <v>0</v>
      </c>
      <c r="N91" s="40">
        <v>0</v>
      </c>
      <c r="O91" s="40">
        <v>0</v>
      </c>
      <c r="P91" s="40">
        <v>0</v>
      </c>
      <c r="Q91" s="40">
        <v>0</v>
      </c>
      <c r="R91" s="40">
        <v>0</v>
      </c>
      <c r="S91" s="40">
        <v>0</v>
      </c>
      <c r="T91" s="40">
        <v>0</v>
      </c>
      <c r="U91" s="40">
        <v>0</v>
      </c>
      <c r="V91" s="40">
        <v>0</v>
      </c>
      <c r="W91" s="40">
        <v>0</v>
      </c>
      <c r="X91" s="40">
        <v>0</v>
      </c>
      <c r="Y91" s="40"/>
      <c r="Z91" s="40"/>
      <c r="AA91" s="40"/>
      <c r="AB91" s="40"/>
      <c r="AC91" s="40"/>
      <c r="AD91" s="40">
        <f t="shared" si="7"/>
        <v>0</v>
      </c>
      <c r="AE91" s="41">
        <f t="shared" si="9"/>
        <v>2100</v>
      </c>
      <c r="AF91" s="12"/>
    </row>
    <row r="92" spans="6:32" ht="15.75" x14ac:dyDescent="0.25">
      <c r="F92" s="42">
        <v>244</v>
      </c>
      <c r="G92" s="43" t="s">
        <v>152</v>
      </c>
      <c r="H92" s="40"/>
      <c r="I92" s="40"/>
      <c r="J92" s="40">
        <v>5000</v>
      </c>
      <c r="K92" s="40"/>
      <c r="L92" s="40">
        <f t="shared" si="6"/>
        <v>5000</v>
      </c>
      <c r="M92" s="40">
        <v>0</v>
      </c>
      <c r="N92" s="40">
        <v>0</v>
      </c>
      <c r="O92" s="40">
        <v>2794</v>
      </c>
      <c r="P92" s="40">
        <v>0</v>
      </c>
      <c r="Q92" s="40">
        <v>0</v>
      </c>
      <c r="R92" s="40">
        <v>0</v>
      </c>
      <c r="S92" s="40">
        <v>0</v>
      </c>
      <c r="T92" s="40">
        <v>0</v>
      </c>
      <c r="U92" s="40">
        <v>0</v>
      </c>
      <c r="V92" s="40">
        <v>0</v>
      </c>
      <c r="W92" s="40">
        <v>0</v>
      </c>
      <c r="X92" s="40">
        <v>0</v>
      </c>
      <c r="Y92" s="40">
        <v>1143</v>
      </c>
      <c r="Z92" s="40">
        <v>127</v>
      </c>
      <c r="AA92" s="40">
        <v>1524</v>
      </c>
      <c r="AB92" s="40"/>
      <c r="AC92" s="40"/>
      <c r="AD92" s="40">
        <f t="shared" si="7"/>
        <v>2794</v>
      </c>
      <c r="AE92" s="41">
        <f t="shared" si="9"/>
        <v>2206</v>
      </c>
      <c r="AF92" s="12"/>
    </row>
    <row r="93" spans="6:32" ht="15.75" x14ac:dyDescent="0.25">
      <c r="F93" s="42">
        <v>245</v>
      </c>
      <c r="G93" s="43" t="s">
        <v>153</v>
      </c>
      <c r="H93" s="40">
        <v>1000</v>
      </c>
      <c r="I93" s="40"/>
      <c r="J93" s="40"/>
      <c r="K93" s="40"/>
      <c r="L93" s="40">
        <f t="shared" si="6"/>
        <v>1000</v>
      </c>
      <c r="M93" s="40">
        <v>0</v>
      </c>
      <c r="N93" s="40">
        <v>0</v>
      </c>
      <c r="O93" s="40">
        <v>0</v>
      </c>
      <c r="P93" s="40">
        <v>0</v>
      </c>
      <c r="Q93" s="40">
        <v>0</v>
      </c>
      <c r="R93" s="40">
        <v>0</v>
      </c>
      <c r="S93" s="40">
        <v>0</v>
      </c>
      <c r="T93" s="40">
        <v>0</v>
      </c>
      <c r="U93" s="40">
        <v>0</v>
      </c>
      <c r="V93" s="40">
        <v>0</v>
      </c>
      <c r="W93" s="40">
        <v>0</v>
      </c>
      <c r="X93" s="40">
        <v>0</v>
      </c>
      <c r="Y93" s="40"/>
      <c r="Z93" s="40"/>
      <c r="AA93" s="40"/>
      <c r="AB93" s="40"/>
      <c r="AC93" s="40"/>
      <c r="AD93" s="40">
        <f t="shared" si="7"/>
        <v>0</v>
      </c>
      <c r="AE93" s="41">
        <f t="shared" si="9"/>
        <v>1000</v>
      </c>
      <c r="AF93" s="12"/>
    </row>
    <row r="94" spans="6:32" ht="15.75" x14ac:dyDescent="0.25">
      <c r="F94" s="42">
        <v>247</v>
      </c>
      <c r="G94" s="43" t="s">
        <v>154</v>
      </c>
      <c r="H94" s="40">
        <v>500</v>
      </c>
      <c r="I94" s="40"/>
      <c r="J94" s="40">
        <f>10000</f>
        <v>10000</v>
      </c>
      <c r="K94" s="40"/>
      <c r="L94" s="40">
        <f t="shared" si="6"/>
        <v>10500</v>
      </c>
      <c r="M94" s="40">
        <v>0</v>
      </c>
      <c r="N94" s="40">
        <v>0</v>
      </c>
      <c r="O94" s="40">
        <v>486.8</v>
      </c>
      <c r="P94" s="40">
        <v>0</v>
      </c>
      <c r="Q94" s="40">
        <v>0</v>
      </c>
      <c r="R94" s="40">
        <v>4700</v>
      </c>
      <c r="S94" s="40">
        <v>0</v>
      </c>
      <c r="T94" s="40">
        <v>0</v>
      </c>
      <c r="U94" s="40">
        <v>0</v>
      </c>
      <c r="V94" s="40">
        <v>0</v>
      </c>
      <c r="W94" s="40">
        <v>0</v>
      </c>
      <c r="X94" s="40">
        <v>0</v>
      </c>
      <c r="Y94" s="40">
        <f>486.8+4700</f>
        <v>5186.8</v>
      </c>
      <c r="Z94" s="40"/>
      <c r="AA94" s="40"/>
      <c r="AB94" s="40"/>
      <c r="AC94" s="40"/>
      <c r="AD94" s="40">
        <f t="shared" si="7"/>
        <v>5186.8</v>
      </c>
      <c r="AE94" s="41">
        <f t="shared" si="9"/>
        <v>5313.2</v>
      </c>
      <c r="AF94" s="12"/>
    </row>
    <row r="95" spans="6:32" ht="15.75" x14ac:dyDescent="0.25">
      <c r="F95" s="42">
        <v>249</v>
      </c>
      <c r="G95" s="43" t="s">
        <v>155</v>
      </c>
      <c r="H95" s="40">
        <v>1000</v>
      </c>
      <c r="I95" s="40"/>
      <c r="J95" s="40"/>
      <c r="K95" s="40"/>
      <c r="L95" s="40">
        <f t="shared" si="6"/>
        <v>1000</v>
      </c>
      <c r="M95" s="40">
        <v>0</v>
      </c>
      <c r="N95" s="40">
        <v>0</v>
      </c>
      <c r="O95" s="40">
        <v>0</v>
      </c>
      <c r="P95" s="40">
        <v>0</v>
      </c>
      <c r="Q95" s="40">
        <v>0</v>
      </c>
      <c r="R95" s="40">
        <v>0</v>
      </c>
      <c r="S95" s="40">
        <v>0</v>
      </c>
      <c r="T95" s="40">
        <v>0</v>
      </c>
      <c r="U95" s="40">
        <v>0</v>
      </c>
      <c r="V95" s="40">
        <v>0</v>
      </c>
      <c r="W95" s="40">
        <v>0</v>
      </c>
      <c r="X95" s="40">
        <v>0</v>
      </c>
      <c r="Y95" s="40"/>
      <c r="Z95" s="40"/>
      <c r="AA95" s="40"/>
      <c r="AB95" s="40"/>
      <c r="AC95" s="40"/>
      <c r="AD95" s="40">
        <f t="shared" si="7"/>
        <v>0</v>
      </c>
      <c r="AE95" s="41">
        <f t="shared" si="9"/>
        <v>1000</v>
      </c>
      <c r="AF95" s="12"/>
    </row>
    <row r="96" spans="6:32" ht="15.75" x14ac:dyDescent="0.25">
      <c r="F96" s="42"/>
      <c r="G96" s="39" t="s">
        <v>156</v>
      </c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1"/>
      <c r="AF96" s="12"/>
    </row>
    <row r="97" spans="6:32" ht="15.75" x14ac:dyDescent="0.25">
      <c r="F97" s="42" t="s">
        <v>157</v>
      </c>
      <c r="G97" s="43" t="s">
        <v>158</v>
      </c>
      <c r="H97" s="40">
        <v>26000</v>
      </c>
      <c r="I97" s="40"/>
      <c r="J97" s="40"/>
      <c r="K97" s="40"/>
      <c r="L97" s="40">
        <f t="shared" si="6"/>
        <v>26000</v>
      </c>
      <c r="M97" s="40">
        <v>0</v>
      </c>
      <c r="N97" s="40">
        <v>0</v>
      </c>
      <c r="O97" s="40">
        <v>0</v>
      </c>
      <c r="P97" s="40">
        <v>5000</v>
      </c>
      <c r="Q97" s="40">
        <v>0</v>
      </c>
      <c r="R97" s="40">
        <v>0</v>
      </c>
      <c r="S97" s="40">
        <v>0</v>
      </c>
      <c r="T97" s="40">
        <v>0</v>
      </c>
      <c r="U97" s="40">
        <v>0</v>
      </c>
      <c r="V97" s="40">
        <v>0</v>
      </c>
      <c r="W97" s="40">
        <v>0</v>
      </c>
      <c r="X97" s="40">
        <v>0</v>
      </c>
      <c r="Y97" s="40"/>
      <c r="Z97" s="40">
        <f>5000</f>
        <v>5000</v>
      </c>
      <c r="AA97" s="40"/>
      <c r="AB97" s="40"/>
      <c r="AC97" s="40"/>
      <c r="AD97" s="40">
        <f t="shared" si="7"/>
        <v>5000</v>
      </c>
      <c r="AE97" s="41">
        <f>+L97-AD97</f>
        <v>21000</v>
      </c>
      <c r="AF97" s="12"/>
    </row>
    <row r="98" spans="6:32" ht="15.75" x14ac:dyDescent="0.25">
      <c r="F98" s="42">
        <v>264</v>
      </c>
      <c r="G98" s="43" t="s">
        <v>210</v>
      </c>
      <c r="H98" s="40"/>
      <c r="I98" s="40"/>
      <c r="J98" s="40"/>
      <c r="K98" s="40"/>
      <c r="L98" s="40">
        <f t="shared" si="6"/>
        <v>0</v>
      </c>
      <c r="M98" s="40">
        <v>0</v>
      </c>
      <c r="N98" s="40">
        <v>0</v>
      </c>
      <c r="O98" s="40">
        <v>0</v>
      </c>
      <c r="P98" s="40">
        <v>0</v>
      </c>
      <c r="Q98" s="40">
        <v>0</v>
      </c>
      <c r="R98" s="40">
        <v>0</v>
      </c>
      <c r="S98" s="40">
        <v>0</v>
      </c>
      <c r="T98" s="40">
        <v>0</v>
      </c>
      <c r="U98" s="40">
        <v>0</v>
      </c>
      <c r="V98" s="40">
        <v>0</v>
      </c>
      <c r="W98" s="40">
        <v>0</v>
      </c>
      <c r="X98" s="40">
        <v>0</v>
      </c>
      <c r="Y98" s="40"/>
      <c r="Z98" s="40"/>
      <c r="AA98" s="40"/>
      <c r="AB98" s="40"/>
      <c r="AC98" s="40"/>
      <c r="AD98" s="40">
        <f t="shared" si="7"/>
        <v>0</v>
      </c>
      <c r="AE98" s="41">
        <f>+L98-AD98</f>
        <v>0</v>
      </c>
      <c r="AF98" s="12"/>
    </row>
    <row r="99" spans="6:32" ht="15.75" x14ac:dyDescent="0.25">
      <c r="F99" s="42" t="s">
        <v>159</v>
      </c>
      <c r="G99" s="43" t="s">
        <v>160</v>
      </c>
      <c r="H99" s="40">
        <v>5000</v>
      </c>
      <c r="I99" s="40"/>
      <c r="J99" s="40">
        <f>10000+20000</f>
        <v>30000</v>
      </c>
      <c r="K99" s="40"/>
      <c r="L99" s="40">
        <f t="shared" si="6"/>
        <v>35000</v>
      </c>
      <c r="M99" s="40">
        <v>0</v>
      </c>
      <c r="N99" s="40">
        <v>1311</v>
      </c>
      <c r="O99" s="40">
        <v>6344.52</v>
      </c>
      <c r="P99" s="40">
        <v>145.5</v>
      </c>
      <c r="Q99" s="40">
        <v>5040</v>
      </c>
      <c r="R99" s="40">
        <v>14140</v>
      </c>
      <c r="S99" s="40">
        <v>0</v>
      </c>
      <c r="T99" s="40">
        <v>745.15</v>
      </c>
      <c r="U99" s="40">
        <v>0</v>
      </c>
      <c r="V99" s="40">
        <v>990</v>
      </c>
      <c r="W99" s="40">
        <v>0</v>
      </c>
      <c r="X99" s="40">
        <v>351.38</v>
      </c>
      <c r="Y99" s="40"/>
      <c r="Z99" s="40">
        <f>145.5+5040</f>
        <v>5185.5</v>
      </c>
      <c r="AA99" s="40">
        <f>1311+6344.52+14140+745.15+990+351.38</f>
        <v>23882.050000000003</v>
      </c>
      <c r="AB99" s="40"/>
      <c r="AC99" s="40"/>
      <c r="AD99" s="40">
        <f t="shared" si="7"/>
        <v>29067.550000000003</v>
      </c>
      <c r="AE99" s="41">
        <f>+L99-AD99</f>
        <v>5932.4499999999971</v>
      </c>
      <c r="AF99" s="12"/>
    </row>
    <row r="100" spans="6:32" ht="15.75" x14ac:dyDescent="0.25">
      <c r="F100" s="42">
        <v>267</v>
      </c>
      <c r="G100" s="43" t="s">
        <v>161</v>
      </c>
      <c r="H100" s="40">
        <v>5000</v>
      </c>
      <c r="I100" s="40"/>
      <c r="J100" s="40"/>
      <c r="K100" s="40"/>
      <c r="L100" s="40">
        <f t="shared" si="6"/>
        <v>5000</v>
      </c>
      <c r="M100" s="40">
        <v>0</v>
      </c>
      <c r="N100" s="40">
        <v>548.79999999999995</v>
      </c>
      <c r="O100" s="40">
        <v>0</v>
      </c>
      <c r="P100" s="40">
        <v>0</v>
      </c>
      <c r="Q100" s="40">
        <v>0</v>
      </c>
      <c r="R100" s="40">
        <v>0</v>
      </c>
      <c r="S100" s="40">
        <v>0</v>
      </c>
      <c r="T100" s="40">
        <v>0</v>
      </c>
      <c r="U100" s="40">
        <v>0</v>
      </c>
      <c r="V100" s="40">
        <v>0</v>
      </c>
      <c r="W100" s="40">
        <v>0</v>
      </c>
      <c r="X100" s="40">
        <v>0</v>
      </c>
      <c r="Y100" s="40">
        <v>548.79999999999995</v>
      </c>
      <c r="Z100" s="40"/>
      <c r="AA100" s="40"/>
      <c r="AB100" s="40"/>
      <c r="AC100" s="40"/>
      <c r="AD100" s="40">
        <f t="shared" si="7"/>
        <v>548.79999999999995</v>
      </c>
      <c r="AE100" s="41">
        <f>+L100-AD100</f>
        <v>4451.2</v>
      </c>
      <c r="AF100" s="12"/>
    </row>
    <row r="101" spans="6:32" ht="15.75" x14ac:dyDescent="0.25">
      <c r="F101" s="42">
        <v>268</v>
      </c>
      <c r="G101" s="43" t="s">
        <v>162</v>
      </c>
      <c r="H101" s="40">
        <v>2500</v>
      </c>
      <c r="I101" s="40"/>
      <c r="J101" s="40"/>
      <c r="K101" s="40"/>
      <c r="L101" s="40">
        <f t="shared" si="6"/>
        <v>2500</v>
      </c>
      <c r="M101" s="40">
        <v>0</v>
      </c>
      <c r="N101" s="40">
        <v>100.8</v>
      </c>
      <c r="O101" s="40">
        <v>0</v>
      </c>
      <c r="P101" s="40">
        <v>960</v>
      </c>
      <c r="Q101" s="40">
        <v>685</v>
      </c>
      <c r="R101" s="40">
        <v>0</v>
      </c>
      <c r="S101" s="40">
        <v>0</v>
      </c>
      <c r="T101" s="40">
        <v>0</v>
      </c>
      <c r="U101" s="40">
        <v>0</v>
      </c>
      <c r="V101" s="40">
        <v>0</v>
      </c>
      <c r="W101" s="40">
        <v>0</v>
      </c>
      <c r="X101" s="40">
        <v>0</v>
      </c>
      <c r="Y101" s="40">
        <v>100.8</v>
      </c>
      <c r="Z101" s="40">
        <f>960+685</f>
        <v>1645</v>
      </c>
      <c r="AA101" s="40"/>
      <c r="AB101" s="40"/>
      <c r="AC101" s="40"/>
      <c r="AD101" s="40">
        <f t="shared" si="7"/>
        <v>1745.8</v>
      </c>
      <c r="AE101" s="41">
        <f>+L101-AD101</f>
        <v>754.2</v>
      </c>
      <c r="AF101" s="12"/>
    </row>
    <row r="102" spans="6:32" ht="15.75" x14ac:dyDescent="0.25">
      <c r="F102" s="42"/>
      <c r="G102" s="39" t="s">
        <v>163</v>
      </c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1"/>
      <c r="AF102" s="12"/>
    </row>
    <row r="103" spans="6:32" ht="15.75" x14ac:dyDescent="0.25">
      <c r="F103" s="42">
        <v>272</v>
      </c>
      <c r="G103" s="43" t="s">
        <v>164</v>
      </c>
      <c r="H103" s="40"/>
      <c r="I103" s="40"/>
      <c r="J103" s="40"/>
      <c r="K103" s="40"/>
      <c r="L103" s="40">
        <f t="shared" si="6"/>
        <v>0</v>
      </c>
      <c r="M103" s="40">
        <v>0</v>
      </c>
      <c r="N103" s="40">
        <v>0</v>
      </c>
      <c r="O103" s="40">
        <v>0</v>
      </c>
      <c r="P103" s="40">
        <v>0</v>
      </c>
      <c r="Q103" s="40">
        <v>0</v>
      </c>
      <c r="R103" s="40">
        <v>0</v>
      </c>
      <c r="S103" s="40">
        <v>0</v>
      </c>
      <c r="T103" s="40">
        <v>0</v>
      </c>
      <c r="U103" s="40">
        <v>0</v>
      </c>
      <c r="V103" s="40">
        <v>0</v>
      </c>
      <c r="W103" s="40">
        <v>0</v>
      </c>
      <c r="X103" s="40">
        <v>0</v>
      </c>
      <c r="Y103" s="40"/>
      <c r="Z103" s="40"/>
      <c r="AA103" s="40"/>
      <c r="AB103" s="40"/>
      <c r="AC103" s="40"/>
      <c r="AD103" s="40">
        <f t="shared" si="7"/>
        <v>0</v>
      </c>
      <c r="AE103" s="41">
        <f>+L103-AD103</f>
        <v>0</v>
      </c>
      <c r="AF103" s="12"/>
    </row>
    <row r="104" spans="6:32" ht="15.75" x14ac:dyDescent="0.25">
      <c r="F104" s="42">
        <v>275</v>
      </c>
      <c r="G104" s="44" t="s">
        <v>165</v>
      </c>
      <c r="H104" s="40">
        <v>6000</v>
      </c>
      <c r="I104" s="40"/>
      <c r="J104" s="40"/>
      <c r="K104" s="40"/>
      <c r="L104" s="40">
        <f t="shared" si="6"/>
        <v>6000</v>
      </c>
      <c r="M104" s="40">
        <v>0</v>
      </c>
      <c r="N104" s="40">
        <v>0</v>
      </c>
      <c r="O104" s="40">
        <v>0</v>
      </c>
      <c r="P104" s="40">
        <v>0</v>
      </c>
      <c r="Q104" s="40">
        <v>0</v>
      </c>
      <c r="R104" s="40">
        <v>0</v>
      </c>
      <c r="S104" s="40">
        <v>0</v>
      </c>
      <c r="T104" s="40">
        <v>0</v>
      </c>
      <c r="U104" s="40">
        <v>0</v>
      </c>
      <c r="V104" s="40">
        <v>0</v>
      </c>
      <c r="W104" s="40">
        <v>0</v>
      </c>
      <c r="X104" s="40">
        <v>0</v>
      </c>
      <c r="Y104" s="40"/>
      <c r="Z104" s="40"/>
      <c r="AA104" s="40"/>
      <c r="AB104" s="40"/>
      <c r="AC104" s="40"/>
      <c r="AD104" s="40">
        <f t="shared" si="7"/>
        <v>0</v>
      </c>
      <c r="AE104" s="41">
        <f>+L104-AD104</f>
        <v>6000</v>
      </c>
      <c r="AF104" s="12"/>
    </row>
    <row r="105" spans="6:32" ht="15.75" x14ac:dyDescent="0.25">
      <c r="F105" s="42">
        <v>279</v>
      </c>
      <c r="G105" s="44" t="s">
        <v>166</v>
      </c>
      <c r="H105" s="40"/>
      <c r="I105" s="40"/>
      <c r="J105" s="40">
        <v>10000</v>
      </c>
      <c r="K105" s="40"/>
      <c r="L105" s="40">
        <f t="shared" si="6"/>
        <v>10000</v>
      </c>
      <c r="M105" s="40">
        <v>0</v>
      </c>
      <c r="N105" s="40">
        <v>0</v>
      </c>
      <c r="O105" s="40">
        <v>0</v>
      </c>
      <c r="P105" s="40">
        <v>0</v>
      </c>
      <c r="Q105" s="40">
        <v>0</v>
      </c>
      <c r="R105" s="40">
        <v>0</v>
      </c>
      <c r="S105" s="40">
        <v>2800</v>
      </c>
      <c r="T105" s="40">
        <v>0</v>
      </c>
      <c r="U105" s="40">
        <v>0</v>
      </c>
      <c r="V105" s="40">
        <v>0</v>
      </c>
      <c r="W105" s="40">
        <v>0</v>
      </c>
      <c r="X105" s="40">
        <v>0</v>
      </c>
      <c r="Y105" s="40"/>
      <c r="Z105" s="40"/>
      <c r="AA105" s="40">
        <v>2800</v>
      </c>
      <c r="AB105" s="40"/>
      <c r="AC105" s="40"/>
      <c r="AD105" s="40">
        <f t="shared" si="7"/>
        <v>2800</v>
      </c>
      <c r="AE105" s="41">
        <f>+L105-AD105</f>
        <v>7200</v>
      </c>
      <c r="AF105" s="12"/>
    </row>
    <row r="106" spans="6:32" ht="15.75" x14ac:dyDescent="0.25">
      <c r="F106" s="42">
        <v>283</v>
      </c>
      <c r="G106" s="43" t="s">
        <v>167</v>
      </c>
      <c r="H106" s="40">
        <v>2500</v>
      </c>
      <c r="I106" s="40"/>
      <c r="J106" s="40"/>
      <c r="K106" s="40"/>
      <c r="L106" s="40">
        <f t="shared" si="6"/>
        <v>2500</v>
      </c>
      <c r="M106" s="40">
        <v>0</v>
      </c>
      <c r="N106" s="40">
        <v>0</v>
      </c>
      <c r="O106" s="40">
        <v>0</v>
      </c>
      <c r="P106" s="40">
        <v>0</v>
      </c>
      <c r="Q106" s="40">
        <v>0</v>
      </c>
      <c r="R106" s="40">
        <v>0</v>
      </c>
      <c r="S106" s="40">
        <v>0</v>
      </c>
      <c r="T106" s="40">
        <v>0</v>
      </c>
      <c r="U106" s="40">
        <v>0</v>
      </c>
      <c r="V106" s="40">
        <v>0</v>
      </c>
      <c r="W106" s="40">
        <v>0</v>
      </c>
      <c r="X106" s="40">
        <v>0</v>
      </c>
      <c r="Y106" s="40"/>
      <c r="Z106" s="40"/>
      <c r="AA106" s="40"/>
      <c r="AB106" s="40"/>
      <c r="AC106" s="40"/>
      <c r="AD106" s="40">
        <f t="shared" si="7"/>
        <v>0</v>
      </c>
      <c r="AE106" s="41">
        <f>+L106-AD106</f>
        <v>2500</v>
      </c>
      <c r="AF106" s="12"/>
    </row>
    <row r="107" spans="6:32" ht="15.75" x14ac:dyDescent="0.25">
      <c r="F107" s="42"/>
      <c r="G107" s="39" t="s">
        <v>168</v>
      </c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1"/>
      <c r="AF107" s="12"/>
    </row>
    <row r="108" spans="6:32" ht="15.75" x14ac:dyDescent="0.25">
      <c r="F108" s="42" t="s">
        <v>169</v>
      </c>
      <c r="G108" s="43" t="s">
        <v>170</v>
      </c>
      <c r="H108" s="40">
        <v>65000</v>
      </c>
      <c r="I108" s="40"/>
      <c r="J108" s="40"/>
      <c r="K108" s="40"/>
      <c r="L108" s="40">
        <f t="shared" si="6"/>
        <v>65000</v>
      </c>
      <c r="M108" s="40">
        <v>0</v>
      </c>
      <c r="N108" s="40">
        <v>5038.8</v>
      </c>
      <c r="O108" s="40">
        <v>0</v>
      </c>
      <c r="P108" s="40">
        <v>0</v>
      </c>
      <c r="Q108" s="40">
        <v>0</v>
      </c>
      <c r="R108" s="40">
        <v>0</v>
      </c>
      <c r="S108" s="40">
        <v>120</v>
      </c>
      <c r="T108" s="40">
        <v>0</v>
      </c>
      <c r="U108" s="40">
        <v>0</v>
      </c>
      <c r="V108" s="40">
        <v>0</v>
      </c>
      <c r="W108" s="40">
        <v>0</v>
      </c>
      <c r="X108" s="40">
        <v>0</v>
      </c>
      <c r="Y108" s="40">
        <v>5038.8</v>
      </c>
      <c r="Z108" s="40"/>
      <c r="AA108" s="40">
        <v>120</v>
      </c>
      <c r="AB108" s="40"/>
      <c r="AC108" s="40"/>
      <c r="AD108" s="40">
        <f t="shared" si="7"/>
        <v>5158.8</v>
      </c>
      <c r="AE108" s="41">
        <f t="shared" ref="AE108:AE115" si="10">+L108-AD108</f>
        <v>59841.2</v>
      </c>
      <c r="AF108" s="12"/>
    </row>
    <row r="109" spans="6:32" ht="15.75" x14ac:dyDescent="0.25">
      <c r="F109" s="42">
        <v>292</v>
      </c>
      <c r="G109" s="43" t="s">
        <v>171</v>
      </c>
      <c r="H109" s="40">
        <v>17841.150000000001</v>
      </c>
      <c r="I109" s="40"/>
      <c r="J109" s="40">
        <v>2500</v>
      </c>
      <c r="K109" s="40"/>
      <c r="L109" s="40">
        <f t="shared" si="6"/>
        <v>20341.150000000001</v>
      </c>
      <c r="M109" s="40">
        <v>0</v>
      </c>
      <c r="N109" s="40">
        <v>0</v>
      </c>
      <c r="O109" s="40">
        <v>9929.35</v>
      </c>
      <c r="P109" s="40">
        <v>663.34</v>
      </c>
      <c r="Q109" s="40">
        <v>0</v>
      </c>
      <c r="R109" s="40">
        <v>0</v>
      </c>
      <c r="S109" s="40">
        <v>0</v>
      </c>
      <c r="T109" s="40">
        <v>3438.25</v>
      </c>
      <c r="U109" s="40">
        <v>4753.49</v>
      </c>
      <c r="V109" s="40">
        <v>728</v>
      </c>
      <c r="W109" s="40">
        <v>0</v>
      </c>
      <c r="X109" s="40">
        <v>0</v>
      </c>
      <c r="Y109" s="40">
        <f>3661.35+T109</f>
        <v>7099.6</v>
      </c>
      <c r="Z109" s="40">
        <f>663.34</f>
        <v>663.34</v>
      </c>
      <c r="AA109" s="40">
        <f>6268+4753.49+728</f>
        <v>11749.49</v>
      </c>
      <c r="AB109" s="40"/>
      <c r="AC109" s="40"/>
      <c r="AD109" s="40">
        <f t="shared" si="7"/>
        <v>19512.43</v>
      </c>
      <c r="AE109" s="41">
        <f t="shared" si="10"/>
        <v>828.72000000000116</v>
      </c>
      <c r="AF109" s="12"/>
    </row>
    <row r="110" spans="6:32" ht="15.75" x14ac:dyDescent="0.25">
      <c r="F110" s="42" t="s">
        <v>172</v>
      </c>
      <c r="G110" s="43" t="s">
        <v>173</v>
      </c>
      <c r="H110" s="40">
        <v>525663.43999999994</v>
      </c>
      <c r="I110" s="40"/>
      <c r="J110" s="40"/>
      <c r="K110" s="40"/>
      <c r="L110" s="40">
        <f t="shared" si="6"/>
        <v>525663.43999999994</v>
      </c>
      <c r="M110" s="40">
        <v>0</v>
      </c>
      <c r="N110" s="40">
        <v>0</v>
      </c>
      <c r="O110" s="40">
        <v>10094</v>
      </c>
      <c r="P110" s="40">
        <v>26612</v>
      </c>
      <c r="Q110" s="40">
        <v>3240</v>
      </c>
      <c r="R110" s="40">
        <v>0</v>
      </c>
      <c r="S110" s="40">
        <v>5250</v>
      </c>
      <c r="T110" s="40">
        <v>0</v>
      </c>
      <c r="U110" s="40">
        <v>0</v>
      </c>
      <c r="V110" s="40">
        <v>94053.62</v>
      </c>
      <c r="W110" s="40">
        <v>384.85</v>
      </c>
      <c r="X110" s="40">
        <v>250</v>
      </c>
      <c r="Y110" s="40"/>
      <c r="Z110" s="40">
        <f>1494+22952+46936.81-67242.14</f>
        <v>4140.6699999999983</v>
      </c>
      <c r="AA110" s="40">
        <f>8600+3660+3240+5250+47116.81+384.85+250</f>
        <v>68501.66</v>
      </c>
      <c r="AB110" s="40">
        <v>67242.14</v>
      </c>
      <c r="AC110" s="40"/>
      <c r="AD110" s="40">
        <f t="shared" si="7"/>
        <v>139884.47</v>
      </c>
      <c r="AE110" s="41">
        <f t="shared" si="10"/>
        <v>385778.97</v>
      </c>
      <c r="AF110" s="12"/>
    </row>
    <row r="111" spans="6:32" ht="15.75" x14ac:dyDescent="0.25">
      <c r="F111" s="42">
        <v>295</v>
      </c>
      <c r="G111" s="43" t="s">
        <v>174</v>
      </c>
      <c r="H111" s="40">
        <v>6500</v>
      </c>
      <c r="I111" s="40"/>
      <c r="J111" s="40"/>
      <c r="K111" s="40"/>
      <c r="L111" s="40">
        <f t="shared" si="6"/>
        <v>6500</v>
      </c>
      <c r="M111" s="40">
        <v>0</v>
      </c>
      <c r="N111" s="40">
        <v>0</v>
      </c>
      <c r="O111" s="40">
        <v>0</v>
      </c>
      <c r="P111" s="40">
        <v>0</v>
      </c>
      <c r="Q111" s="40">
        <v>0</v>
      </c>
      <c r="R111" s="40">
        <v>0</v>
      </c>
      <c r="S111" s="40">
        <v>0</v>
      </c>
      <c r="T111" s="40">
        <v>0</v>
      </c>
      <c r="U111" s="40">
        <v>0</v>
      </c>
      <c r="V111" s="40">
        <v>0</v>
      </c>
      <c r="W111" s="40">
        <v>0</v>
      </c>
      <c r="X111" s="40">
        <v>0</v>
      </c>
      <c r="Y111" s="40"/>
      <c r="Z111" s="40"/>
      <c r="AA111" s="40"/>
      <c r="AB111" s="40"/>
      <c r="AC111" s="40"/>
      <c r="AD111" s="40">
        <f t="shared" si="7"/>
        <v>0</v>
      </c>
      <c r="AE111" s="41">
        <f t="shared" si="10"/>
        <v>6500</v>
      </c>
      <c r="AF111" s="12"/>
    </row>
    <row r="112" spans="6:32" ht="15.75" x14ac:dyDescent="0.25">
      <c r="F112" s="42">
        <v>296</v>
      </c>
      <c r="G112" s="43" t="s">
        <v>175</v>
      </c>
      <c r="H112" s="40">
        <v>1500</v>
      </c>
      <c r="I112" s="40"/>
      <c r="J112" s="40"/>
      <c r="K112" s="40"/>
      <c r="L112" s="40">
        <f t="shared" si="6"/>
        <v>1500</v>
      </c>
      <c r="M112" s="40">
        <v>0</v>
      </c>
      <c r="N112" s="40">
        <v>0</v>
      </c>
      <c r="O112" s="40">
        <v>0</v>
      </c>
      <c r="P112" s="40">
        <v>0</v>
      </c>
      <c r="Q112" s="40">
        <v>0</v>
      </c>
      <c r="R112" s="40">
        <v>0</v>
      </c>
      <c r="S112" s="40">
        <v>0</v>
      </c>
      <c r="T112" s="40">
        <v>359.7</v>
      </c>
      <c r="U112" s="40">
        <v>0</v>
      </c>
      <c r="V112" s="40">
        <v>0</v>
      </c>
      <c r="W112" s="40">
        <v>0</v>
      </c>
      <c r="X112" s="40">
        <v>0</v>
      </c>
      <c r="Y112" s="40">
        <f>T112</f>
        <v>359.7</v>
      </c>
      <c r="Z112" s="40"/>
      <c r="AA112" s="40"/>
      <c r="AB112" s="40"/>
      <c r="AC112" s="40"/>
      <c r="AD112" s="40">
        <f t="shared" si="7"/>
        <v>359.7</v>
      </c>
      <c r="AE112" s="41">
        <f t="shared" si="10"/>
        <v>1140.3</v>
      </c>
      <c r="AF112" s="12"/>
    </row>
    <row r="113" spans="6:32" ht="15.75" x14ac:dyDescent="0.25">
      <c r="F113" s="42">
        <v>297</v>
      </c>
      <c r="G113" s="43" t="s">
        <v>176</v>
      </c>
      <c r="H113" s="40">
        <v>2500</v>
      </c>
      <c r="I113" s="40"/>
      <c r="J113" s="40"/>
      <c r="K113" s="40"/>
      <c r="L113" s="40">
        <f t="shared" si="6"/>
        <v>2500</v>
      </c>
      <c r="M113" s="40">
        <v>0</v>
      </c>
      <c r="N113" s="40">
        <v>200.01</v>
      </c>
      <c r="O113" s="40">
        <v>0</v>
      </c>
      <c r="P113" s="40">
        <v>0</v>
      </c>
      <c r="Q113" s="40">
        <v>0</v>
      </c>
      <c r="R113" s="40">
        <v>0</v>
      </c>
      <c r="S113" s="40">
        <v>0</v>
      </c>
      <c r="T113" s="40">
        <v>0</v>
      </c>
      <c r="U113" s="40">
        <v>0</v>
      </c>
      <c r="V113" s="40">
        <v>0</v>
      </c>
      <c r="W113" s="40">
        <v>0</v>
      </c>
      <c r="X113" s="40">
        <v>0</v>
      </c>
      <c r="Y113" s="40">
        <v>200.01</v>
      </c>
      <c r="Z113" s="40"/>
      <c r="AA113" s="40"/>
      <c r="AB113" s="40"/>
      <c r="AC113" s="40"/>
      <c r="AD113" s="40">
        <f t="shared" si="7"/>
        <v>200.01</v>
      </c>
      <c r="AE113" s="41">
        <f t="shared" si="10"/>
        <v>2299.9899999999998</v>
      </c>
      <c r="AF113" s="12"/>
    </row>
    <row r="114" spans="6:32" ht="15.75" x14ac:dyDescent="0.25">
      <c r="F114" s="42">
        <v>298</v>
      </c>
      <c r="G114" s="43" t="s">
        <v>177</v>
      </c>
      <c r="H114" s="40">
        <v>12500</v>
      </c>
      <c r="I114" s="40"/>
      <c r="J114" s="40"/>
      <c r="K114" s="40"/>
      <c r="L114" s="40">
        <f t="shared" si="6"/>
        <v>12500</v>
      </c>
      <c r="M114" s="40">
        <v>0</v>
      </c>
      <c r="N114" s="40">
        <v>0</v>
      </c>
      <c r="O114" s="40">
        <v>0</v>
      </c>
      <c r="P114" s="40">
        <v>0</v>
      </c>
      <c r="Q114" s="40">
        <v>0</v>
      </c>
      <c r="R114" s="40">
        <v>0</v>
      </c>
      <c r="S114" s="40">
        <v>2976</v>
      </c>
      <c r="T114" s="40">
        <v>0</v>
      </c>
      <c r="U114" s="40">
        <v>0</v>
      </c>
      <c r="V114" s="40">
        <v>4141</v>
      </c>
      <c r="W114" s="40">
        <v>0</v>
      </c>
      <c r="X114" s="40">
        <v>0</v>
      </c>
      <c r="Y114" s="40">
        <f>2976+1500</f>
        <v>4476</v>
      </c>
      <c r="Z114" s="40"/>
      <c r="AA114" s="40">
        <f>1500+1141</f>
        <v>2641</v>
      </c>
      <c r="AB114" s="40"/>
      <c r="AC114" s="40"/>
      <c r="AD114" s="40">
        <f t="shared" si="7"/>
        <v>7117</v>
      </c>
      <c r="AE114" s="41">
        <f t="shared" si="10"/>
        <v>5383</v>
      </c>
      <c r="AF114" s="12"/>
    </row>
    <row r="115" spans="6:32" ht="15.75" x14ac:dyDescent="0.25">
      <c r="F115" s="42" t="s">
        <v>178</v>
      </c>
      <c r="G115" s="43" t="s">
        <v>179</v>
      </c>
      <c r="H115" s="40">
        <v>15000</v>
      </c>
      <c r="I115" s="40"/>
      <c r="J115" s="40"/>
      <c r="K115" s="40"/>
      <c r="L115" s="40">
        <f t="shared" si="6"/>
        <v>15000</v>
      </c>
      <c r="M115" s="40">
        <v>0</v>
      </c>
      <c r="N115" s="40">
        <v>31.35</v>
      </c>
      <c r="O115" s="40">
        <v>4492.55</v>
      </c>
      <c r="P115" s="40">
        <v>2075.21</v>
      </c>
      <c r="Q115" s="40">
        <v>0</v>
      </c>
      <c r="R115" s="40">
        <v>1579.6</v>
      </c>
      <c r="S115" s="40">
        <v>0</v>
      </c>
      <c r="T115" s="40">
        <v>1399</v>
      </c>
      <c r="U115" s="40">
        <v>83.9</v>
      </c>
      <c r="V115" s="40">
        <v>0</v>
      </c>
      <c r="W115" s="40">
        <v>0</v>
      </c>
      <c r="X115" s="40">
        <v>0</v>
      </c>
      <c r="Y115" s="40">
        <f>31.35+4492.55+79.6+T115+U115</f>
        <v>6086.4000000000005</v>
      </c>
      <c r="Z115" s="40">
        <f>175.25</f>
        <v>175.25</v>
      </c>
      <c r="AA115" s="40">
        <f>1899.96+1500</f>
        <v>3399.96</v>
      </c>
      <c r="AB115" s="40"/>
      <c r="AC115" s="40"/>
      <c r="AD115" s="40">
        <f t="shared" si="7"/>
        <v>9661.61</v>
      </c>
      <c r="AE115" s="41">
        <f t="shared" si="10"/>
        <v>5338.3899999999994</v>
      </c>
      <c r="AF115" s="12"/>
    </row>
    <row r="116" spans="6:32" ht="15.75" x14ac:dyDescent="0.25">
      <c r="F116" s="42"/>
      <c r="G116" s="39" t="s">
        <v>180</v>
      </c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1"/>
      <c r="AF116" s="12"/>
    </row>
    <row r="117" spans="6:32" ht="15.75" x14ac:dyDescent="0.25">
      <c r="F117" s="42" t="s">
        <v>181</v>
      </c>
      <c r="G117" s="43" t="s">
        <v>182</v>
      </c>
      <c r="H117" s="40">
        <v>125000</v>
      </c>
      <c r="I117" s="40"/>
      <c r="J117" s="40"/>
      <c r="K117" s="40"/>
      <c r="L117" s="40">
        <f t="shared" si="6"/>
        <v>125000</v>
      </c>
      <c r="M117" s="40">
        <v>0</v>
      </c>
      <c r="N117" s="40">
        <v>24900</v>
      </c>
      <c r="O117" s="40">
        <v>0</v>
      </c>
      <c r="P117" s="40">
        <v>0</v>
      </c>
      <c r="Q117" s="40">
        <v>0</v>
      </c>
      <c r="R117" s="40">
        <v>0</v>
      </c>
      <c r="S117" s="40">
        <v>0</v>
      </c>
      <c r="T117" s="40">
        <v>0</v>
      </c>
      <c r="U117" s="40">
        <v>8300</v>
      </c>
      <c r="V117" s="40">
        <v>0</v>
      </c>
      <c r="W117" s="40">
        <v>0</v>
      </c>
      <c r="X117" s="40">
        <v>0</v>
      </c>
      <c r="Y117" s="40">
        <v>24900</v>
      </c>
      <c r="Z117" s="40"/>
      <c r="AA117" s="40">
        <v>8300</v>
      </c>
      <c r="AB117" s="40"/>
      <c r="AC117" s="40"/>
      <c r="AD117" s="40">
        <f t="shared" si="7"/>
        <v>33200</v>
      </c>
      <c r="AE117" s="41">
        <f t="shared" ref="AE117:AE124" si="11">+L117-AD117</f>
        <v>91800</v>
      </c>
      <c r="AF117" s="12"/>
    </row>
    <row r="118" spans="6:32" ht="15.75" x14ac:dyDescent="0.25">
      <c r="F118" s="42">
        <v>323</v>
      </c>
      <c r="G118" s="43" t="s">
        <v>183</v>
      </c>
      <c r="H118" s="40">
        <v>10000</v>
      </c>
      <c r="I118" s="40"/>
      <c r="J118" s="40"/>
      <c r="K118" s="40"/>
      <c r="L118" s="40">
        <f t="shared" si="6"/>
        <v>10000</v>
      </c>
      <c r="M118" s="40">
        <v>0</v>
      </c>
      <c r="N118" s="40">
        <v>0</v>
      </c>
      <c r="O118" s="40">
        <v>0</v>
      </c>
      <c r="P118" s="40">
        <v>0</v>
      </c>
      <c r="Q118" s="40">
        <v>0</v>
      </c>
      <c r="R118" s="40">
        <v>0</v>
      </c>
      <c r="S118" s="40">
        <v>0</v>
      </c>
      <c r="T118" s="40">
        <v>0</v>
      </c>
      <c r="U118" s="40">
        <v>0</v>
      </c>
      <c r="V118" s="40">
        <v>0</v>
      </c>
      <c r="W118" s="40">
        <v>0</v>
      </c>
      <c r="X118" s="40">
        <v>0</v>
      </c>
      <c r="Y118" s="40"/>
      <c r="Z118" s="40"/>
      <c r="AA118" s="40"/>
      <c r="AB118" s="40"/>
      <c r="AC118" s="40"/>
      <c r="AD118" s="40">
        <f t="shared" si="7"/>
        <v>0</v>
      </c>
      <c r="AE118" s="41">
        <f t="shared" si="11"/>
        <v>10000</v>
      </c>
      <c r="AF118" s="12"/>
    </row>
    <row r="119" spans="6:32" ht="15.75" x14ac:dyDescent="0.25">
      <c r="F119" s="42" t="s">
        <v>184</v>
      </c>
      <c r="G119" s="43" t="s">
        <v>185</v>
      </c>
      <c r="H119" s="40">
        <v>402267.46</v>
      </c>
      <c r="I119" s="40"/>
      <c r="J119" s="40"/>
      <c r="K119" s="40"/>
      <c r="L119" s="40">
        <f t="shared" si="6"/>
        <v>402267.46</v>
      </c>
      <c r="M119" s="40">
        <v>0</v>
      </c>
      <c r="N119" s="40">
        <v>21410</v>
      </c>
      <c r="O119" s="40">
        <v>54000</v>
      </c>
      <c r="P119" s="40">
        <v>0</v>
      </c>
      <c r="Q119" s="40">
        <v>0</v>
      </c>
      <c r="R119" s="40">
        <v>0</v>
      </c>
      <c r="S119" s="40">
        <v>0</v>
      </c>
      <c r="T119" s="40">
        <v>0</v>
      </c>
      <c r="U119" s="40">
        <v>0</v>
      </c>
      <c r="V119" s="40">
        <v>79658</v>
      </c>
      <c r="W119" s="40">
        <v>0</v>
      </c>
      <c r="X119" s="40">
        <v>89000</v>
      </c>
      <c r="Y119" s="40"/>
      <c r="Z119" s="40"/>
      <c r="AA119" s="40">
        <f>21410+54000+79658-74400+89000-29700-44700</f>
        <v>95268</v>
      </c>
      <c r="AB119" s="40">
        <f>74400+29700+44700</f>
        <v>148800</v>
      </c>
      <c r="AC119" s="40"/>
      <c r="AD119" s="40">
        <f t="shared" si="7"/>
        <v>244068</v>
      </c>
      <c r="AE119" s="41">
        <f t="shared" si="11"/>
        <v>158199.46000000002</v>
      </c>
      <c r="AF119" s="12"/>
    </row>
    <row r="120" spans="6:32" ht="15.75" x14ac:dyDescent="0.25">
      <c r="F120" s="42">
        <v>325</v>
      </c>
      <c r="G120" s="43" t="s">
        <v>211</v>
      </c>
      <c r="H120" s="40">
        <v>431000</v>
      </c>
      <c r="I120" s="40"/>
      <c r="J120" s="40"/>
      <c r="K120" s="40"/>
      <c r="L120" s="40">
        <f t="shared" si="6"/>
        <v>431000</v>
      </c>
      <c r="M120" s="40">
        <v>0</v>
      </c>
      <c r="N120" s="40">
        <v>0</v>
      </c>
      <c r="O120" s="40">
        <v>0</v>
      </c>
      <c r="P120" s="40">
        <v>0</v>
      </c>
      <c r="Q120" s="40">
        <v>0</v>
      </c>
      <c r="R120" s="40">
        <v>0</v>
      </c>
      <c r="S120" s="40">
        <v>0</v>
      </c>
      <c r="T120" s="40">
        <v>0</v>
      </c>
      <c r="U120" s="40">
        <v>0</v>
      </c>
      <c r="V120" s="40">
        <v>0</v>
      </c>
      <c r="W120" s="40">
        <v>0</v>
      </c>
      <c r="X120" s="40">
        <v>0</v>
      </c>
      <c r="Y120" s="40"/>
      <c r="Z120" s="40"/>
      <c r="AA120" s="40"/>
      <c r="AB120" s="40"/>
      <c r="AC120" s="40"/>
      <c r="AD120" s="40">
        <f t="shared" si="7"/>
        <v>0</v>
      </c>
      <c r="AE120" s="41">
        <f t="shared" si="11"/>
        <v>431000</v>
      </c>
      <c r="AF120" s="12"/>
    </row>
    <row r="121" spans="6:32" ht="15.75" x14ac:dyDescent="0.25">
      <c r="F121" s="42">
        <v>326</v>
      </c>
      <c r="G121" s="43" t="s">
        <v>186</v>
      </c>
      <c r="H121" s="40">
        <v>1000</v>
      </c>
      <c r="I121" s="40"/>
      <c r="J121" s="40"/>
      <c r="K121" s="40"/>
      <c r="L121" s="40">
        <f t="shared" si="6"/>
        <v>1000</v>
      </c>
      <c r="M121" s="40">
        <v>0</v>
      </c>
      <c r="N121" s="40">
        <v>0</v>
      </c>
      <c r="O121" s="40">
        <v>0</v>
      </c>
      <c r="P121" s="40">
        <v>0</v>
      </c>
      <c r="Q121" s="40">
        <v>0</v>
      </c>
      <c r="R121" s="40">
        <v>0</v>
      </c>
      <c r="S121" s="40">
        <v>0</v>
      </c>
      <c r="T121" s="40">
        <v>0</v>
      </c>
      <c r="U121" s="40">
        <v>0</v>
      </c>
      <c r="V121" s="40">
        <v>0</v>
      </c>
      <c r="W121" s="40">
        <v>0</v>
      </c>
      <c r="X121" s="40">
        <v>0</v>
      </c>
      <c r="Y121" s="40"/>
      <c r="Z121" s="40"/>
      <c r="AA121" s="40"/>
      <c r="AB121" s="40"/>
      <c r="AC121" s="40"/>
      <c r="AD121" s="40">
        <f t="shared" si="7"/>
        <v>0</v>
      </c>
      <c r="AE121" s="41">
        <f t="shared" si="11"/>
        <v>1000</v>
      </c>
      <c r="AF121" s="12"/>
    </row>
    <row r="122" spans="6:32" ht="15.75" x14ac:dyDescent="0.25">
      <c r="F122" s="42">
        <v>329</v>
      </c>
      <c r="G122" s="43" t="s">
        <v>187</v>
      </c>
      <c r="H122" s="40">
        <v>105000</v>
      </c>
      <c r="I122" s="40"/>
      <c r="J122" s="40"/>
      <c r="K122" s="40"/>
      <c r="L122" s="40">
        <f t="shared" si="6"/>
        <v>105000</v>
      </c>
      <c r="M122" s="40">
        <v>0</v>
      </c>
      <c r="N122" s="40">
        <v>0</v>
      </c>
      <c r="O122" s="40">
        <v>0</v>
      </c>
      <c r="P122" s="40">
        <v>0</v>
      </c>
      <c r="Q122" s="40">
        <v>53827.199999999997</v>
      </c>
      <c r="R122" s="40">
        <v>0</v>
      </c>
      <c r="S122" s="40">
        <v>0</v>
      </c>
      <c r="T122" s="40">
        <v>0</v>
      </c>
      <c r="U122" s="40">
        <v>0</v>
      </c>
      <c r="V122" s="40">
        <v>0</v>
      </c>
      <c r="W122" s="40">
        <v>0</v>
      </c>
      <c r="X122" s="40">
        <v>0</v>
      </c>
      <c r="Y122" s="40"/>
      <c r="Z122" s="40"/>
      <c r="AA122" s="40">
        <v>53827.199999999997</v>
      </c>
      <c r="AB122" s="40"/>
      <c r="AC122" s="40"/>
      <c r="AD122" s="40">
        <f t="shared" si="7"/>
        <v>53827.199999999997</v>
      </c>
      <c r="AE122" s="41">
        <f t="shared" si="11"/>
        <v>51172.800000000003</v>
      </c>
      <c r="AF122" s="12"/>
    </row>
    <row r="123" spans="6:32" ht="15.75" x14ac:dyDescent="0.25">
      <c r="F123" s="42">
        <v>328</v>
      </c>
      <c r="G123" s="43" t="s">
        <v>188</v>
      </c>
      <c r="H123" s="40">
        <v>2500</v>
      </c>
      <c r="I123" s="40"/>
      <c r="J123" s="40">
        <v>50000</v>
      </c>
      <c r="K123" s="40"/>
      <c r="L123" s="40">
        <f t="shared" si="6"/>
        <v>52500</v>
      </c>
      <c r="M123" s="40">
        <v>0</v>
      </c>
      <c r="N123" s="40">
        <v>0</v>
      </c>
      <c r="O123" s="40">
        <v>0</v>
      </c>
      <c r="P123" s="40">
        <v>3599</v>
      </c>
      <c r="Q123" s="40">
        <v>2500</v>
      </c>
      <c r="R123" s="40">
        <v>0</v>
      </c>
      <c r="S123" s="40">
        <v>0</v>
      </c>
      <c r="T123" s="40">
        <v>0</v>
      </c>
      <c r="U123" s="40">
        <v>0</v>
      </c>
      <c r="V123" s="40">
        <v>0</v>
      </c>
      <c r="W123" s="40">
        <v>0</v>
      </c>
      <c r="X123" s="40">
        <v>0</v>
      </c>
      <c r="Y123" s="40">
        <f>3599+2500</f>
        <v>6099</v>
      </c>
      <c r="Z123" s="40"/>
      <c r="AA123" s="40"/>
      <c r="AB123" s="40"/>
      <c r="AC123" s="40"/>
      <c r="AD123" s="40">
        <f t="shared" si="7"/>
        <v>6099</v>
      </c>
      <c r="AE123" s="41">
        <f t="shared" si="11"/>
        <v>46401</v>
      </c>
      <c r="AF123" s="12"/>
    </row>
    <row r="124" spans="6:32" ht="15.75" x14ac:dyDescent="0.25">
      <c r="F124" s="42" t="s">
        <v>189</v>
      </c>
      <c r="G124" s="43" t="s">
        <v>190</v>
      </c>
      <c r="H124" s="40">
        <v>0</v>
      </c>
      <c r="I124" s="40"/>
      <c r="J124" s="40"/>
      <c r="K124" s="40"/>
      <c r="L124" s="40">
        <f t="shared" si="6"/>
        <v>0</v>
      </c>
      <c r="M124" s="40">
        <v>0</v>
      </c>
      <c r="N124" s="40">
        <v>0</v>
      </c>
      <c r="O124" s="40">
        <v>0</v>
      </c>
      <c r="P124" s="40">
        <v>0</v>
      </c>
      <c r="Q124" s="40">
        <v>0</v>
      </c>
      <c r="R124" s="40">
        <v>0</v>
      </c>
      <c r="S124" s="40">
        <v>0</v>
      </c>
      <c r="T124" s="40">
        <v>0</v>
      </c>
      <c r="U124" s="40">
        <v>0</v>
      </c>
      <c r="V124" s="40">
        <v>0</v>
      </c>
      <c r="W124" s="40">
        <v>0</v>
      </c>
      <c r="X124" s="40">
        <v>0</v>
      </c>
      <c r="Y124" s="40"/>
      <c r="Z124" s="40"/>
      <c r="AA124" s="40"/>
      <c r="AB124" s="40"/>
      <c r="AC124" s="40"/>
      <c r="AD124" s="40">
        <f t="shared" si="7"/>
        <v>0</v>
      </c>
      <c r="AE124" s="41">
        <f t="shared" si="11"/>
        <v>0</v>
      </c>
      <c r="AF124" s="12"/>
    </row>
    <row r="125" spans="6:32" ht="15.75" x14ac:dyDescent="0.25">
      <c r="F125" s="42"/>
      <c r="G125" s="39" t="s">
        <v>191</v>
      </c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1"/>
      <c r="AF125" s="12"/>
    </row>
    <row r="126" spans="6:32" ht="15.75" x14ac:dyDescent="0.25">
      <c r="F126" s="42">
        <v>413</v>
      </c>
      <c r="G126" s="43" t="s">
        <v>192</v>
      </c>
      <c r="H126" s="40">
        <v>191627.94</v>
      </c>
      <c r="I126" s="40"/>
      <c r="J126" s="40"/>
      <c r="K126" s="40"/>
      <c r="L126" s="40">
        <f t="shared" si="6"/>
        <v>191627.94</v>
      </c>
      <c r="M126" s="40">
        <v>0</v>
      </c>
      <c r="N126" s="40">
        <v>0</v>
      </c>
      <c r="O126" s="40">
        <v>0</v>
      </c>
      <c r="P126" s="40">
        <v>0</v>
      </c>
      <c r="Q126" s="40">
        <v>0</v>
      </c>
      <c r="R126" s="40">
        <v>0</v>
      </c>
      <c r="S126" s="40">
        <v>0</v>
      </c>
      <c r="T126" s="40">
        <v>0</v>
      </c>
      <c r="U126" s="40">
        <v>0</v>
      </c>
      <c r="V126" s="40">
        <v>0</v>
      </c>
      <c r="W126" s="40">
        <v>0</v>
      </c>
      <c r="X126" s="40">
        <v>0</v>
      </c>
      <c r="Y126" s="40"/>
      <c r="Z126" s="40"/>
      <c r="AA126" s="40"/>
      <c r="AB126" s="40"/>
      <c r="AC126" s="40"/>
      <c r="AD126" s="40">
        <f t="shared" si="7"/>
        <v>0</v>
      </c>
      <c r="AE126" s="41">
        <f>+L126-AD126</f>
        <v>191627.94</v>
      </c>
      <c r="AF126" s="12"/>
    </row>
    <row r="127" spans="6:32" ht="15.75" x14ac:dyDescent="0.25">
      <c r="F127" s="42">
        <v>416</v>
      </c>
      <c r="G127" s="43" t="s">
        <v>193</v>
      </c>
      <c r="H127" s="40"/>
      <c r="I127" s="40"/>
      <c r="J127" s="40"/>
      <c r="K127" s="40"/>
      <c r="L127" s="40">
        <f t="shared" si="6"/>
        <v>0</v>
      </c>
      <c r="M127" s="40">
        <v>0</v>
      </c>
      <c r="N127" s="40">
        <v>0</v>
      </c>
      <c r="O127" s="40">
        <v>0</v>
      </c>
      <c r="P127" s="40">
        <v>0</v>
      </c>
      <c r="Q127" s="40">
        <v>0</v>
      </c>
      <c r="R127" s="40">
        <v>0</v>
      </c>
      <c r="S127" s="40">
        <v>0</v>
      </c>
      <c r="T127" s="40">
        <v>0</v>
      </c>
      <c r="U127" s="40">
        <v>0</v>
      </c>
      <c r="V127" s="40">
        <v>0</v>
      </c>
      <c r="W127" s="40">
        <v>0</v>
      </c>
      <c r="X127" s="40">
        <v>0</v>
      </c>
      <c r="Y127" s="40"/>
      <c r="Z127" s="40"/>
      <c r="AA127" s="40"/>
      <c r="AB127" s="40"/>
      <c r="AC127" s="40"/>
      <c r="AD127" s="40">
        <f t="shared" si="7"/>
        <v>0</v>
      </c>
      <c r="AE127" s="41">
        <f>+L127-AD127</f>
        <v>0</v>
      </c>
      <c r="AF127" s="12"/>
    </row>
    <row r="128" spans="6:32" ht="15.75" x14ac:dyDescent="0.25">
      <c r="F128" s="42">
        <v>419</v>
      </c>
      <c r="G128" s="43" t="s">
        <v>194</v>
      </c>
      <c r="H128" s="40">
        <v>80996.25</v>
      </c>
      <c r="I128" s="40"/>
      <c r="J128" s="40"/>
      <c r="K128" s="40"/>
      <c r="L128" s="40">
        <f t="shared" si="6"/>
        <v>80996.25</v>
      </c>
      <c r="M128" s="40">
        <v>0</v>
      </c>
      <c r="N128" s="40">
        <v>0</v>
      </c>
      <c r="O128" s="40">
        <v>0</v>
      </c>
      <c r="P128" s="40">
        <v>0</v>
      </c>
      <c r="Q128" s="40">
        <v>0</v>
      </c>
      <c r="R128" s="40">
        <v>2500</v>
      </c>
      <c r="S128" s="40">
        <v>6000</v>
      </c>
      <c r="T128" s="40">
        <v>3000</v>
      </c>
      <c r="U128" s="40">
        <v>4500</v>
      </c>
      <c r="V128" s="40">
        <v>4500</v>
      </c>
      <c r="W128" s="40">
        <v>4500</v>
      </c>
      <c r="X128" s="40">
        <v>8900</v>
      </c>
      <c r="Y128" s="40"/>
      <c r="Z128" s="40">
        <f>2500+6000+1500+1500+1500+1500+1500+1500+1500+1500+1400+1500+1500</f>
        <v>24900</v>
      </c>
      <c r="AA128" s="40">
        <f>1500+1500+1500+1500+1500+1500</f>
        <v>9000</v>
      </c>
      <c r="AB128" s="40"/>
      <c r="AC128" s="40"/>
      <c r="AD128" s="40">
        <f>SUM(M128:X128)</f>
        <v>33900</v>
      </c>
      <c r="AE128" s="41">
        <f>+L128-AD128</f>
        <v>47096.25</v>
      </c>
      <c r="AF128" s="12"/>
    </row>
    <row r="129" spans="6:33" ht="15.75" x14ac:dyDescent="0.25">
      <c r="F129" s="42">
        <v>472</v>
      </c>
      <c r="G129" s="43" t="s">
        <v>195</v>
      </c>
      <c r="H129" s="40">
        <v>490703.59</v>
      </c>
      <c r="I129" s="40"/>
      <c r="J129" s="40"/>
      <c r="K129" s="40"/>
      <c r="L129" s="40">
        <f>H129+I129+J129-K129</f>
        <v>490703.59</v>
      </c>
      <c r="M129" s="40">
        <v>0</v>
      </c>
      <c r="N129" s="40">
        <v>0</v>
      </c>
      <c r="O129" s="40">
        <v>0</v>
      </c>
      <c r="P129" s="40">
        <v>230855.53</v>
      </c>
      <c r="Q129" s="40">
        <v>43110.55</v>
      </c>
      <c r="R129" s="40">
        <v>0</v>
      </c>
      <c r="S129" s="40">
        <v>13688.32</v>
      </c>
      <c r="T129" s="40">
        <v>0</v>
      </c>
      <c r="U129" s="40">
        <v>0</v>
      </c>
      <c r="V129" s="40">
        <v>0</v>
      </c>
      <c r="W129" s="40">
        <v>0</v>
      </c>
      <c r="X129" s="40">
        <v>56697.31</v>
      </c>
      <c r="Y129" s="40"/>
      <c r="Z129" s="40">
        <f>230855.53+43110.55+13688.32</f>
        <v>287654.40000000002</v>
      </c>
      <c r="AA129" s="40">
        <f>X129</f>
        <v>56697.31</v>
      </c>
      <c r="AB129" s="40"/>
      <c r="AC129" s="40"/>
      <c r="AD129" s="40">
        <f t="shared" si="7"/>
        <v>344351.71</v>
      </c>
      <c r="AE129" s="41">
        <f>+L129-AD129</f>
        <v>146351.88</v>
      </c>
      <c r="AF129" s="12"/>
    </row>
    <row r="130" spans="6:33" ht="15.75" x14ac:dyDescent="0.25">
      <c r="F130" s="42"/>
      <c r="G130" s="39" t="s">
        <v>196</v>
      </c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C130" s="40"/>
      <c r="AD130" s="40"/>
      <c r="AE130" s="41"/>
      <c r="AF130" s="12"/>
    </row>
    <row r="131" spans="6:33" ht="15.75" x14ac:dyDescent="0.25">
      <c r="F131" s="42">
        <v>991</v>
      </c>
      <c r="G131" s="43" t="s">
        <v>197</v>
      </c>
      <c r="H131" s="40">
        <v>9687872.4900000002</v>
      </c>
      <c r="I131" s="40"/>
      <c r="J131" s="40"/>
      <c r="K131" s="40">
        <f>5000+5000+10000+5000+25000+50000+10000+250000+5000+10000+10000+10000+10000+20000+10000+110500+150000+10000+18000+5000+13923.9+15000+3445.21+3781.16+75086.21+3318.06</f>
        <v>843054.54</v>
      </c>
      <c r="L131" s="40">
        <f t="shared" si="6"/>
        <v>8844817.9499999993</v>
      </c>
      <c r="M131" s="40">
        <v>0</v>
      </c>
      <c r="N131" s="40">
        <v>0</v>
      </c>
      <c r="O131" s="40">
        <v>0</v>
      </c>
      <c r="P131" s="40">
        <v>0</v>
      </c>
      <c r="Q131" s="40">
        <v>0</v>
      </c>
      <c r="R131" s="40">
        <v>0</v>
      </c>
      <c r="S131" s="40">
        <v>0</v>
      </c>
      <c r="T131" s="40">
        <v>0</v>
      </c>
      <c r="U131" s="40">
        <v>0</v>
      </c>
      <c r="V131" s="40">
        <v>0</v>
      </c>
      <c r="W131" s="40">
        <v>0</v>
      </c>
      <c r="X131" s="40">
        <v>0</v>
      </c>
      <c r="Y131" s="40"/>
      <c r="Z131" s="40"/>
      <c r="AA131" s="40"/>
      <c r="AB131" s="40"/>
      <c r="AC131" s="40"/>
      <c r="AD131" s="40">
        <f t="shared" si="7"/>
        <v>0</v>
      </c>
      <c r="AE131" s="41">
        <f>+L131-AD131</f>
        <v>8844817.9499999993</v>
      </c>
      <c r="AF131" s="12"/>
    </row>
    <row r="132" spans="6:33" ht="15.75" x14ac:dyDescent="0.25">
      <c r="F132" s="42"/>
      <c r="G132" s="67" t="s">
        <v>198</v>
      </c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1"/>
      <c r="AF132" s="12"/>
    </row>
    <row r="133" spans="6:33" ht="15.75" x14ac:dyDescent="0.25">
      <c r="F133" s="42"/>
      <c r="G133" s="68" t="s">
        <v>199</v>
      </c>
      <c r="H133" s="40">
        <v>0</v>
      </c>
      <c r="I133" s="40"/>
      <c r="J133" s="40"/>
      <c r="K133" s="40"/>
      <c r="L133" s="40">
        <f t="shared" si="6"/>
        <v>0</v>
      </c>
      <c r="M133" s="40">
        <v>530.88</v>
      </c>
      <c r="N133" s="40">
        <v>530.88</v>
      </c>
      <c r="O133" s="40">
        <v>530.88</v>
      </c>
      <c r="P133" s="40">
        <v>530.88</v>
      </c>
      <c r="Q133" s="40">
        <v>530.88</v>
      </c>
      <c r="R133" s="40">
        <v>1061.76</v>
      </c>
      <c r="S133" s="40">
        <v>530.88</v>
      </c>
      <c r="T133" s="40">
        <v>530.88</v>
      </c>
      <c r="U133" s="40">
        <v>530.88</v>
      </c>
      <c r="V133" s="40">
        <v>530.88</v>
      </c>
      <c r="W133" s="40">
        <v>530.88</v>
      </c>
      <c r="X133" s="40">
        <v>530.88</v>
      </c>
      <c r="Y133" s="40">
        <f>530.88+530.88+530.88+530.88+530.88+530.88+530.88+530.88+530.88+530.88+530.88+530.88+530.88</f>
        <v>6901.4400000000005</v>
      </c>
      <c r="Z133" s="40"/>
      <c r="AA133" s="40"/>
      <c r="AB133" s="40"/>
      <c r="AC133" s="40"/>
      <c r="AD133" s="40">
        <f t="shared" si="7"/>
        <v>6901.4400000000005</v>
      </c>
      <c r="AE133" s="41">
        <f t="shared" ref="AE133:AE138" si="12">+L133-AD133</f>
        <v>-6901.4400000000005</v>
      </c>
      <c r="AF133" s="12"/>
    </row>
    <row r="134" spans="6:33" ht="15.75" x14ac:dyDescent="0.25">
      <c r="F134" s="42"/>
      <c r="G134" s="69" t="s">
        <v>200</v>
      </c>
      <c r="H134" s="40">
        <v>0</v>
      </c>
      <c r="I134" s="40"/>
      <c r="J134" s="40"/>
      <c r="K134" s="40"/>
      <c r="L134" s="40">
        <f t="shared" si="6"/>
        <v>0</v>
      </c>
      <c r="M134" s="40">
        <v>21185.26</v>
      </c>
      <c r="N134" s="40">
        <v>3070.23</v>
      </c>
      <c r="O134" s="40">
        <v>7401.17</v>
      </c>
      <c r="P134" s="40">
        <v>8825.3700000000008</v>
      </c>
      <c r="Q134" s="40">
        <v>8333.57</v>
      </c>
      <c r="R134" s="40">
        <v>8497.93</v>
      </c>
      <c r="S134" s="40">
        <v>7443.75</v>
      </c>
      <c r="T134" s="40">
        <v>8861.69</v>
      </c>
      <c r="U134" s="40">
        <v>6628.86</v>
      </c>
      <c r="V134" s="40">
        <v>5861.94</v>
      </c>
      <c r="W134" s="40">
        <v>6066.01</v>
      </c>
      <c r="X134" s="40">
        <v>2479.0500000000002</v>
      </c>
      <c r="Y134" s="40">
        <f>21185.26+3070.23+7401.17+8825.37+8333.57+8497.93+7443.75+T134+6628.86+V134+6066.01+2479.05</f>
        <v>94654.83</v>
      </c>
      <c r="Z134" s="40"/>
      <c r="AA134" s="40"/>
      <c r="AB134" s="40"/>
      <c r="AC134" s="40"/>
      <c r="AD134" s="40">
        <f t="shared" si="7"/>
        <v>94654.83</v>
      </c>
      <c r="AE134" s="41">
        <f t="shared" si="12"/>
        <v>-94654.83</v>
      </c>
      <c r="AF134" s="12"/>
    </row>
    <row r="135" spans="6:33" ht="15.75" x14ac:dyDescent="0.25">
      <c r="F135" s="42"/>
      <c r="G135" s="69" t="s">
        <v>201</v>
      </c>
      <c r="H135" s="40">
        <v>0</v>
      </c>
      <c r="I135" s="40"/>
      <c r="J135" s="40"/>
      <c r="K135" s="40"/>
      <c r="L135" s="40">
        <f t="shared" si="6"/>
        <v>0</v>
      </c>
      <c r="M135" s="40">
        <v>2777.25</v>
      </c>
      <c r="N135" s="40">
        <v>2777.25</v>
      </c>
      <c r="O135" s="40">
        <v>2777.25</v>
      </c>
      <c r="P135" s="40">
        <v>2777.25</v>
      </c>
      <c r="Q135" s="40">
        <v>2777.25</v>
      </c>
      <c r="R135" s="40">
        <v>2777.25</v>
      </c>
      <c r="S135" s="40">
        <v>2777.25</v>
      </c>
      <c r="T135" s="40">
        <v>2777.25</v>
      </c>
      <c r="U135" s="40">
        <v>3260.25</v>
      </c>
      <c r="V135" s="40">
        <v>2777.25</v>
      </c>
      <c r="W135" s="40">
        <v>2777.25</v>
      </c>
      <c r="X135" s="40">
        <v>2777.25</v>
      </c>
      <c r="Y135" s="40">
        <f>2294.25+2294.25+2294.25+2294.25+2294.25+2294.25+2294.25+2294.25+2294.25+2294.25+2294.25+2294.25</f>
        <v>27531</v>
      </c>
      <c r="Z135" s="40"/>
      <c r="AA135" s="40">
        <f>483+483+483+483+483+483+483+483+966+483+483+483</f>
        <v>6279</v>
      </c>
      <c r="AB135" s="40"/>
      <c r="AC135" s="40"/>
      <c r="AD135" s="40">
        <f t="shared" si="7"/>
        <v>33810</v>
      </c>
      <c r="AE135" s="41">
        <f t="shared" si="12"/>
        <v>-33810</v>
      </c>
      <c r="AF135" s="12"/>
    </row>
    <row r="136" spans="6:33" ht="15.75" x14ac:dyDescent="0.25">
      <c r="F136" s="53"/>
      <c r="G136" s="70" t="s">
        <v>202</v>
      </c>
      <c r="H136" s="55">
        <v>0</v>
      </c>
      <c r="I136" s="55"/>
      <c r="J136" s="55"/>
      <c r="K136" s="55"/>
      <c r="L136" s="55">
        <f t="shared" si="6"/>
        <v>0</v>
      </c>
      <c r="M136" s="55">
        <v>0</v>
      </c>
      <c r="N136" s="55">
        <v>0</v>
      </c>
      <c r="O136" s="55">
        <v>0</v>
      </c>
      <c r="P136" s="55">
        <v>0</v>
      </c>
      <c r="Q136" s="55">
        <v>0</v>
      </c>
      <c r="R136" s="55">
        <v>0</v>
      </c>
      <c r="S136" s="55">
        <v>0</v>
      </c>
      <c r="T136" s="55">
        <v>0</v>
      </c>
      <c r="U136" s="55">
        <v>0</v>
      </c>
      <c r="V136" s="55">
        <v>0</v>
      </c>
      <c r="W136" s="55">
        <v>0</v>
      </c>
      <c r="X136" s="55">
        <v>0</v>
      </c>
      <c r="Y136" s="71"/>
      <c r="Z136" s="55"/>
      <c r="AA136" s="71"/>
      <c r="AB136" s="55"/>
      <c r="AC136" s="55"/>
      <c r="AD136" s="40">
        <f t="shared" ref="AD136:AD137" si="13">SUM(M136:X136)</f>
        <v>0</v>
      </c>
      <c r="AE136" s="41">
        <f t="shared" si="12"/>
        <v>0</v>
      </c>
      <c r="AF136" s="12"/>
    </row>
    <row r="137" spans="6:33" ht="15.75" x14ac:dyDescent="0.25">
      <c r="F137" s="53"/>
      <c r="G137" s="70" t="s">
        <v>203</v>
      </c>
      <c r="H137" s="55">
        <v>0</v>
      </c>
      <c r="I137" s="55"/>
      <c r="J137" s="55"/>
      <c r="K137" s="55"/>
      <c r="L137" s="55">
        <f t="shared" si="6"/>
        <v>0</v>
      </c>
      <c r="M137" s="55">
        <v>0</v>
      </c>
      <c r="N137" s="55">
        <v>8400.83</v>
      </c>
      <c r="O137" s="55">
        <v>0</v>
      </c>
      <c r="P137" s="55">
        <v>0</v>
      </c>
      <c r="Q137" s="55">
        <v>0</v>
      </c>
      <c r="R137" s="55">
        <v>5630</v>
      </c>
      <c r="S137" s="55">
        <v>1546.4</v>
      </c>
      <c r="T137" s="55">
        <v>0</v>
      </c>
      <c r="U137" s="55">
        <v>0</v>
      </c>
      <c r="V137" s="55">
        <v>19052.650000000001</v>
      </c>
      <c r="W137" s="55">
        <v>0</v>
      </c>
      <c r="X137" s="55">
        <v>0</v>
      </c>
      <c r="Y137" s="71"/>
      <c r="Z137" s="55"/>
      <c r="AA137" s="71"/>
      <c r="AB137" s="55"/>
      <c r="AC137" s="55">
        <f>8400.83+5630+1546.4+V137</f>
        <v>34629.880000000005</v>
      </c>
      <c r="AD137" s="40">
        <f t="shared" si="13"/>
        <v>34629.880000000005</v>
      </c>
      <c r="AE137" s="41">
        <f t="shared" si="12"/>
        <v>-34629.880000000005</v>
      </c>
      <c r="AF137" s="12"/>
    </row>
    <row r="138" spans="6:33" ht="16.5" thickBot="1" x14ac:dyDescent="0.3">
      <c r="F138" s="106"/>
      <c r="G138" s="107" t="s">
        <v>204</v>
      </c>
      <c r="H138" s="58">
        <f>SUM(H68:H131)</f>
        <v>19553843.990000002</v>
      </c>
      <c r="I138" s="58">
        <f>SUM(I68:I136)</f>
        <v>468193.44</v>
      </c>
      <c r="J138" s="58">
        <f>SUM(J68:J137)</f>
        <v>843054.54</v>
      </c>
      <c r="K138" s="58">
        <f>SUM(K68:K135)</f>
        <v>843054.54</v>
      </c>
      <c r="L138" s="58">
        <f t="shared" ref="L138:U138" si="14">SUM(L68:L137)</f>
        <v>20022037.43</v>
      </c>
      <c r="M138" s="58">
        <f t="shared" si="14"/>
        <v>298492.48000000004</v>
      </c>
      <c r="N138" s="58">
        <f t="shared" si="14"/>
        <v>518668.02999999997</v>
      </c>
      <c r="O138" s="58">
        <f t="shared" si="14"/>
        <v>345265.79999999993</v>
      </c>
      <c r="P138" s="58">
        <f t="shared" si="14"/>
        <v>840797.10999999987</v>
      </c>
      <c r="Q138" s="58">
        <f t="shared" si="14"/>
        <v>602259.88</v>
      </c>
      <c r="R138" s="58">
        <f t="shared" si="14"/>
        <v>589046.55000000005</v>
      </c>
      <c r="S138" s="58">
        <f t="shared" si="14"/>
        <v>471391.65</v>
      </c>
      <c r="T138" s="58">
        <f t="shared" si="14"/>
        <v>686563.3</v>
      </c>
      <c r="U138" s="58">
        <f t="shared" si="14"/>
        <v>441793.13</v>
      </c>
      <c r="V138" s="58">
        <f>SUM(V68:V137)</f>
        <v>773801.69000000018</v>
      </c>
      <c r="W138" s="58">
        <f>SUM(W68:W137)</f>
        <v>927294.73</v>
      </c>
      <c r="X138" s="58">
        <f>SUM(X68:X137)</f>
        <v>1201427.48</v>
      </c>
      <c r="Y138" s="108">
        <f>SUM(Y68:Y137)</f>
        <v>1402819.0400000003</v>
      </c>
      <c r="Z138" s="58">
        <f>SUM(Z68:Z136)</f>
        <v>1509274.92</v>
      </c>
      <c r="AA138" s="108">
        <f>SUM(AA68:AA137)</f>
        <v>3171966.1100000008</v>
      </c>
      <c r="AB138" s="58">
        <f>SUM(AB68:AB137)</f>
        <v>1139538.77</v>
      </c>
      <c r="AC138" s="58">
        <f>SUM(AC68:AC137)</f>
        <v>473202.99</v>
      </c>
      <c r="AD138" s="58">
        <f>SUM(AD68:AD137)</f>
        <v>7696801.8299999991</v>
      </c>
      <c r="AE138" s="59">
        <f t="shared" si="12"/>
        <v>12325235.600000001</v>
      </c>
      <c r="AF138" s="12"/>
    </row>
    <row r="139" spans="6:33" ht="15.75" x14ac:dyDescent="0.25">
      <c r="F139" s="30"/>
      <c r="G139" s="30"/>
      <c r="H139" s="12"/>
      <c r="I139" s="60"/>
      <c r="J139" s="86"/>
      <c r="K139" s="86"/>
      <c r="L139" s="83"/>
      <c r="M139" s="80"/>
      <c r="N139" s="74"/>
      <c r="O139" s="74"/>
      <c r="P139" s="84"/>
      <c r="Q139" s="84"/>
      <c r="R139" s="84"/>
      <c r="S139" s="84"/>
      <c r="T139" s="84"/>
      <c r="U139" s="84"/>
      <c r="V139" s="84"/>
      <c r="W139" s="84"/>
      <c r="X139" s="84"/>
      <c r="Y139" s="84"/>
      <c r="Z139" s="84"/>
      <c r="AA139" s="84"/>
      <c r="AB139" s="87"/>
      <c r="AC139" s="82"/>
      <c r="AE139" s="77"/>
      <c r="AF139" s="76"/>
      <c r="AG139" s="76"/>
    </row>
    <row r="140" spans="6:33" ht="15.75" x14ac:dyDescent="0.25">
      <c r="F140" s="30"/>
      <c r="G140" s="30"/>
      <c r="I140" s="78"/>
      <c r="J140" s="77"/>
      <c r="K140" s="77"/>
      <c r="L140" s="83"/>
      <c r="M140" s="83"/>
      <c r="N140" s="74">
        <f>'[1]dic 22'!Y131</f>
        <v>1320782.7289999998</v>
      </c>
      <c r="O140" s="74"/>
      <c r="P140" s="84"/>
      <c r="Q140" s="84"/>
      <c r="R140" s="84"/>
      <c r="S140" s="84"/>
      <c r="T140" s="84"/>
      <c r="U140" s="84"/>
      <c r="V140" s="84"/>
      <c r="W140" s="84"/>
      <c r="X140" s="84"/>
      <c r="Y140" s="84"/>
      <c r="Z140" s="84"/>
      <c r="AA140" s="84"/>
      <c r="AB140" s="87"/>
      <c r="AC140" s="76"/>
      <c r="AE140" s="77"/>
      <c r="AF140" s="76"/>
      <c r="AG140" s="76"/>
    </row>
    <row r="141" spans="6:33" ht="15.75" x14ac:dyDescent="0.25">
      <c r="F141" s="30"/>
      <c r="G141" s="30"/>
      <c r="H141" s="88"/>
      <c r="I141" s="60"/>
      <c r="J141" s="89"/>
      <c r="K141" s="77"/>
      <c r="L141" s="150"/>
      <c r="M141" s="150"/>
      <c r="N141" s="90">
        <f>N140-N136</f>
        <v>1320782.7289999998</v>
      </c>
      <c r="O141" s="90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2"/>
      <c r="AB141" s="82"/>
      <c r="AC141" s="82"/>
      <c r="AD141" s="12"/>
      <c r="AE141" s="78"/>
      <c r="AF141" s="76"/>
      <c r="AG141" s="76"/>
    </row>
    <row r="142" spans="6:33" ht="15.75" x14ac:dyDescent="0.25">
      <c r="F142" s="30"/>
      <c r="G142" s="4"/>
      <c r="H142" s="88"/>
      <c r="I142" s="86"/>
      <c r="J142" s="89"/>
      <c r="K142" s="60"/>
      <c r="L142" s="138"/>
      <c r="M142" s="138"/>
      <c r="N142" s="93"/>
      <c r="O142" s="93"/>
      <c r="P142" s="94"/>
      <c r="Q142" s="94"/>
      <c r="R142" s="94"/>
      <c r="S142" s="94"/>
      <c r="T142" s="84"/>
      <c r="U142" s="84"/>
      <c r="V142" s="84"/>
      <c r="W142" s="84"/>
      <c r="X142" s="84"/>
      <c r="Y142" s="84"/>
      <c r="Z142" s="84"/>
      <c r="AA142" s="84"/>
      <c r="AB142" s="87"/>
      <c r="AC142" s="87"/>
      <c r="AD142" s="73"/>
      <c r="AE142" s="86"/>
      <c r="AF142" s="76"/>
      <c r="AG142" s="76"/>
    </row>
    <row r="143" spans="6:33" ht="15.75" x14ac:dyDescent="0.25">
      <c r="I143" s="78"/>
      <c r="J143" s="77"/>
      <c r="K143" s="86"/>
      <c r="L143" s="83"/>
      <c r="M143" s="83"/>
      <c r="N143" s="74"/>
      <c r="O143" s="74"/>
      <c r="P143" s="84"/>
      <c r="Q143" s="84"/>
      <c r="R143" s="84"/>
      <c r="S143" s="84"/>
      <c r="T143" s="84"/>
      <c r="U143" s="84"/>
      <c r="V143" s="84"/>
      <c r="W143" s="84"/>
      <c r="X143" s="84"/>
      <c r="Y143" s="84"/>
      <c r="Z143" s="84"/>
      <c r="AA143" s="84"/>
      <c r="AB143" s="75"/>
      <c r="AC143" s="75"/>
      <c r="AD143" s="72"/>
      <c r="AE143" s="87"/>
      <c r="AF143" s="76"/>
      <c r="AG143" s="76"/>
    </row>
    <row r="144" spans="6:33" x14ac:dyDescent="0.25">
      <c r="I144" s="78"/>
      <c r="J144" s="77"/>
      <c r="K144" s="77"/>
      <c r="L144" s="79"/>
      <c r="M144" s="79"/>
      <c r="N144" s="81"/>
      <c r="O144" s="81"/>
      <c r="P144" s="92"/>
      <c r="Q144" s="92"/>
      <c r="R144" s="92"/>
      <c r="S144" s="92"/>
      <c r="T144" s="92"/>
      <c r="U144" s="92"/>
      <c r="V144" s="92"/>
      <c r="W144" s="92"/>
      <c r="X144" s="92"/>
      <c r="Y144" s="92"/>
      <c r="Z144" s="92"/>
      <c r="AA144" s="92"/>
      <c r="AB144" s="82"/>
      <c r="AC144" s="76"/>
      <c r="AE144" s="76"/>
      <c r="AF144" s="76"/>
      <c r="AG144" s="76"/>
    </row>
    <row r="145" spans="8:33" ht="15.75" x14ac:dyDescent="0.25">
      <c r="I145" s="77"/>
      <c r="J145" s="86"/>
      <c r="K145" s="86"/>
      <c r="L145" s="83"/>
      <c r="M145" s="83"/>
      <c r="N145" s="95"/>
      <c r="O145" s="95"/>
      <c r="P145" s="84"/>
      <c r="Q145" s="84"/>
      <c r="R145" s="84"/>
      <c r="S145" s="84"/>
      <c r="T145" s="92"/>
      <c r="U145" s="92"/>
      <c r="V145" s="92"/>
      <c r="W145" s="92"/>
      <c r="X145" s="92"/>
      <c r="Y145" s="92"/>
      <c r="Z145" s="92"/>
      <c r="AA145" s="84"/>
      <c r="AB145" s="75"/>
      <c r="AC145" s="75"/>
      <c r="AD145" s="72"/>
      <c r="AE145" s="75"/>
      <c r="AF145" s="75"/>
      <c r="AG145" s="75"/>
    </row>
    <row r="146" spans="8:33" x14ac:dyDescent="0.25">
      <c r="I146" s="77"/>
      <c r="J146" s="77"/>
      <c r="K146" s="77"/>
      <c r="L146" s="79"/>
      <c r="M146" s="79"/>
      <c r="N146" s="96"/>
      <c r="O146" s="96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2"/>
      <c r="AA146" s="85"/>
      <c r="AB146" s="76"/>
      <c r="AC146" s="76"/>
      <c r="AE146" s="76"/>
      <c r="AF146" s="76"/>
      <c r="AG146" s="76"/>
    </row>
    <row r="147" spans="8:33" x14ac:dyDescent="0.25">
      <c r="I147" s="77"/>
      <c r="J147" s="77"/>
      <c r="K147" s="77"/>
      <c r="L147" s="79"/>
      <c r="M147" s="79"/>
      <c r="N147" s="97"/>
      <c r="O147" s="97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  <c r="AA147" s="92"/>
      <c r="AB147" s="76"/>
      <c r="AC147" s="76"/>
      <c r="AE147" s="76"/>
      <c r="AF147" s="76"/>
      <c r="AG147" s="76"/>
    </row>
    <row r="148" spans="8:33" x14ac:dyDescent="0.25">
      <c r="I148" s="77"/>
      <c r="J148" s="78">
        <f>I136-Y136</f>
        <v>0</v>
      </c>
      <c r="K148" s="77"/>
      <c r="L148" s="96"/>
      <c r="M148" s="96"/>
      <c r="N148" s="85"/>
      <c r="O148" s="85"/>
      <c r="P148" s="98"/>
      <c r="Q148" s="98"/>
      <c r="R148" s="98"/>
      <c r="S148" s="98"/>
      <c r="T148" s="98"/>
      <c r="U148" s="98"/>
      <c r="V148" s="98"/>
      <c r="W148" s="98"/>
      <c r="X148" s="98"/>
      <c r="Y148" s="98"/>
      <c r="Z148" s="98"/>
      <c r="AA148" s="92"/>
      <c r="AB148" s="76"/>
      <c r="AC148" s="76"/>
      <c r="AE148" s="76"/>
      <c r="AF148" s="76"/>
      <c r="AG148" s="76"/>
    </row>
    <row r="149" spans="8:33" x14ac:dyDescent="0.25">
      <c r="I149" s="78"/>
      <c r="J149" s="77"/>
      <c r="K149" s="99"/>
      <c r="L149" s="96"/>
      <c r="M149" s="96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  <c r="AA149" s="85"/>
      <c r="AB149" s="76"/>
      <c r="AC149" s="76"/>
      <c r="AE149" s="76"/>
      <c r="AF149" s="76"/>
      <c r="AG149" s="76"/>
    </row>
    <row r="150" spans="8:33" x14ac:dyDescent="0.25">
      <c r="H150" s="12"/>
      <c r="I150" s="77"/>
      <c r="J150" s="77"/>
      <c r="K150" s="99"/>
      <c r="L150" s="96"/>
      <c r="M150" s="96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2"/>
      <c r="AA150" s="85"/>
      <c r="AB150" s="76"/>
      <c r="AC150" s="76"/>
      <c r="AE150" s="76"/>
      <c r="AF150" s="76"/>
      <c r="AG150" s="76"/>
    </row>
    <row r="151" spans="8:33" x14ac:dyDescent="0.25">
      <c r="I151" s="77"/>
      <c r="J151" s="77"/>
      <c r="K151" s="99"/>
      <c r="L151" s="79"/>
      <c r="M151" s="79"/>
      <c r="N151" s="98"/>
      <c r="O151" s="98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100"/>
      <c r="AA151" s="92"/>
      <c r="AB151" s="76"/>
      <c r="AC151" s="76"/>
      <c r="AE151" s="76"/>
      <c r="AF151" s="76"/>
      <c r="AG151" s="76"/>
    </row>
    <row r="152" spans="8:33" x14ac:dyDescent="0.25">
      <c r="H152" s="12"/>
      <c r="I152" s="77"/>
      <c r="J152" s="77"/>
      <c r="K152" s="99"/>
      <c r="L152" s="79"/>
      <c r="M152" s="79"/>
      <c r="N152" s="101"/>
      <c r="O152" s="101"/>
      <c r="P152" s="92"/>
      <c r="Q152" s="92"/>
      <c r="R152" s="92"/>
      <c r="S152" s="92"/>
      <c r="T152" s="92"/>
      <c r="U152" s="92"/>
      <c r="V152" s="92"/>
      <c r="W152" s="92"/>
      <c r="X152" s="92"/>
      <c r="Y152" s="92"/>
      <c r="Z152" s="92"/>
      <c r="AA152" s="92"/>
      <c r="AB152" s="76"/>
      <c r="AC152" s="76"/>
      <c r="AE152" s="76"/>
      <c r="AF152" s="76"/>
      <c r="AG152" s="76"/>
    </row>
    <row r="153" spans="8:33" x14ac:dyDescent="0.25">
      <c r="I153" s="77"/>
      <c r="J153" s="77"/>
      <c r="K153" s="99"/>
      <c r="N153" s="12"/>
      <c r="O153" s="1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  <c r="AA153" s="76"/>
      <c r="AB153" s="76"/>
      <c r="AC153" s="76"/>
      <c r="AE153" s="76"/>
      <c r="AF153" s="76"/>
      <c r="AG153" s="76"/>
    </row>
    <row r="154" spans="8:33" x14ac:dyDescent="0.25">
      <c r="I154" s="78">
        <f>H136+I136</f>
        <v>0</v>
      </c>
      <c r="J154" s="77"/>
      <c r="K154" s="99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  <c r="Y154" s="76"/>
      <c r="Z154" s="76"/>
      <c r="AA154" s="76"/>
      <c r="AB154" s="76"/>
      <c r="AC154" s="76"/>
      <c r="AE154" s="76"/>
      <c r="AF154" s="76"/>
      <c r="AG154" s="76"/>
    </row>
    <row r="155" spans="8:33" x14ac:dyDescent="0.25">
      <c r="H155" s="12"/>
      <c r="I155" s="78">
        <f>L136</f>
        <v>0</v>
      </c>
      <c r="J155" s="77"/>
      <c r="K155" s="99"/>
      <c r="N155" s="76"/>
      <c r="O155" s="76"/>
      <c r="P155" s="76"/>
      <c r="Q155" s="76"/>
      <c r="R155" s="76"/>
      <c r="S155" s="76"/>
      <c r="T155" s="76"/>
      <c r="U155" s="76"/>
      <c r="V155" s="76"/>
      <c r="W155" s="76"/>
      <c r="X155" s="76"/>
      <c r="Y155" s="76"/>
      <c r="Z155" s="76"/>
      <c r="AA155" s="76"/>
      <c r="AB155" s="76"/>
      <c r="AC155" s="76"/>
      <c r="AE155" s="76"/>
      <c r="AF155" s="76"/>
      <c r="AG155" s="76"/>
    </row>
    <row r="156" spans="8:33" x14ac:dyDescent="0.25">
      <c r="H156" s="12"/>
      <c r="I156" s="78">
        <f>I154-I155</f>
        <v>0</v>
      </c>
      <c r="J156" s="77"/>
      <c r="K156" s="77"/>
      <c r="N156" s="102"/>
      <c r="O156" s="102"/>
      <c r="P156" s="76"/>
      <c r="Q156" s="76"/>
      <c r="R156" s="76"/>
      <c r="S156" s="76"/>
      <c r="T156" s="76"/>
      <c r="U156" s="76"/>
      <c r="V156" s="76"/>
      <c r="W156" s="76"/>
      <c r="X156" s="76"/>
      <c r="Y156" s="76"/>
      <c r="Z156" s="76"/>
      <c r="AA156" s="76"/>
      <c r="AB156" s="76"/>
      <c r="AC156" s="76"/>
      <c r="AE156" s="76"/>
      <c r="AF156" s="76"/>
      <c r="AG156" s="76"/>
    </row>
    <row r="157" spans="8:33" x14ac:dyDescent="0.25">
      <c r="I157" s="78"/>
      <c r="J157" s="77"/>
      <c r="K157" s="77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  <c r="Y157" s="76"/>
      <c r="Z157" s="76"/>
      <c r="AA157" s="76"/>
      <c r="AB157" s="76"/>
      <c r="AC157" s="76"/>
      <c r="AE157" s="76"/>
      <c r="AF157" s="76"/>
      <c r="AG157" s="76"/>
    </row>
    <row r="158" spans="8:33" x14ac:dyDescent="0.25">
      <c r="H158" s="12"/>
      <c r="I158" s="78">
        <f>J62</f>
        <v>142150.27000000002</v>
      </c>
      <c r="J158" s="77" t="str">
        <f>G62</f>
        <v>van</v>
      </c>
      <c r="K158" s="77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  <c r="Z158" s="76"/>
      <c r="AA158" s="76"/>
      <c r="AB158" s="76"/>
      <c r="AC158" s="76"/>
      <c r="AE158" s="76"/>
      <c r="AF158" s="76"/>
      <c r="AG158" s="76"/>
    </row>
    <row r="159" spans="8:33" x14ac:dyDescent="0.25">
      <c r="I159" s="78">
        <f>J135</f>
        <v>0</v>
      </c>
      <c r="J159" s="77" t="str">
        <f>G135</f>
        <v>IGSS LABORAL DE EMPLEADOS RENGLON 011</v>
      </c>
      <c r="K159" s="77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76"/>
      <c r="Y159" s="76"/>
      <c r="Z159" s="76"/>
      <c r="AA159" s="76"/>
      <c r="AB159" s="76"/>
      <c r="AC159" s="76"/>
      <c r="AE159" s="76"/>
      <c r="AF159" s="76"/>
      <c r="AG159" s="76"/>
    </row>
    <row r="160" spans="8:33" x14ac:dyDescent="0.25">
      <c r="AE160" s="76"/>
      <c r="AF160" s="76"/>
      <c r="AG160" s="76"/>
    </row>
    <row r="161" spans="31:33" x14ac:dyDescent="0.25">
      <c r="AE161" s="76"/>
      <c r="AF161" s="76"/>
      <c r="AG161" s="76"/>
    </row>
    <row r="162" spans="31:33" x14ac:dyDescent="0.25">
      <c r="AE162" s="76"/>
      <c r="AF162" s="76"/>
      <c r="AG162" s="76"/>
    </row>
  </sheetData>
  <mergeCells count="11">
    <mergeCell ref="I3:Y3"/>
    <mergeCell ref="I4:Y4"/>
    <mergeCell ref="I5:Y5"/>
    <mergeCell ref="I6:Y6"/>
    <mergeCell ref="L141:M141"/>
    <mergeCell ref="N7:T7"/>
    <mergeCell ref="L142:M142"/>
    <mergeCell ref="J9:K9"/>
    <mergeCell ref="J66:K66"/>
    <mergeCell ref="Y9:AA9"/>
    <mergeCell ref="Y66:AA66"/>
  </mergeCells>
  <pageMargins left="0.11811023622047245" right="0.11811023622047245" top="0.74803149606299213" bottom="0.55118110236220474" header="0.31496062992125984" footer="0.31496062992125984"/>
  <pageSetup scale="28" orientation="landscape" horizontalDpi="0" verticalDpi="0" r:id="rId1"/>
  <rowBreaks count="1" manualBreakCount="1"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ingresos 2025</vt:lpstr>
      <vt:lpstr>egresos 2025</vt:lpstr>
      <vt:lpstr>'egresos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Recepcion 1</dc:creator>
  <cp:lastModifiedBy>Gerencia Raquetbol</cp:lastModifiedBy>
  <cp:lastPrinted>2026-02-16T22:56:46Z</cp:lastPrinted>
  <dcterms:created xsi:type="dcterms:W3CDTF">2023-02-07T15:49:47Z</dcterms:created>
  <dcterms:modified xsi:type="dcterms:W3CDTF">2026-02-16T22:57:25Z</dcterms:modified>
</cp:coreProperties>
</file>