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agosto\"/>
    </mc:Choice>
  </mc:AlternateContent>
  <xr:revisionPtr revIDLastSave="0" documentId="13_ncr:1_{513A7F8E-5EBF-4026-A84B-2683FD6EB760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5" sheetId="4" r:id="rId1"/>
    <sheet name="egresos 2025" sheetId="2" r:id="rId2"/>
  </sheets>
  <externalReferences>
    <externalReference r:id="rId3"/>
    <externalReference r:id="rId4"/>
  </externalReferences>
  <definedNames>
    <definedName name="_xlnm.Print_Area" localSheetId="1">'egresos 2025'!$A$1:$AA$137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6" i="2" l="1"/>
  <c r="P136" i="2"/>
  <c r="O136" i="2"/>
  <c r="N136" i="2"/>
  <c r="M136" i="2"/>
  <c r="K136" i="2"/>
  <c r="J136" i="2"/>
  <c r="I136" i="2"/>
  <c r="H136" i="2"/>
  <c r="Z135" i="2"/>
  <c r="Y135" i="2"/>
  <c r="L135" i="2"/>
  <c r="AA135" i="2" s="1"/>
  <c r="Z134" i="2"/>
  <c r="L134" i="2"/>
  <c r="AA134" i="2" s="1"/>
  <c r="AA133" i="2"/>
  <c r="Z133" i="2"/>
  <c r="W133" i="2"/>
  <c r="U133" i="2"/>
  <c r="L133" i="2"/>
  <c r="Z132" i="2"/>
  <c r="U132" i="2"/>
  <c r="L132" i="2"/>
  <c r="AA132" i="2" s="1"/>
  <c r="Z131" i="2"/>
  <c r="U131" i="2"/>
  <c r="L131" i="2"/>
  <c r="AA131" i="2" s="1"/>
  <c r="Z129" i="2"/>
  <c r="K129" i="2"/>
  <c r="L129" i="2" s="1"/>
  <c r="AA129" i="2" s="1"/>
  <c r="Z127" i="2"/>
  <c r="V127" i="2"/>
  <c r="L127" i="2"/>
  <c r="AA127" i="2" s="1"/>
  <c r="Z126" i="2"/>
  <c r="V126" i="2"/>
  <c r="L126" i="2"/>
  <c r="AA126" i="2" s="1"/>
  <c r="Z125" i="2"/>
  <c r="L125" i="2"/>
  <c r="AA125" i="2" s="1"/>
  <c r="Z124" i="2"/>
  <c r="L124" i="2"/>
  <c r="AA124" i="2" s="1"/>
  <c r="Z123" i="2"/>
  <c r="AA122" i="2"/>
  <c r="L122" i="2"/>
  <c r="Z121" i="2"/>
  <c r="U121" i="2"/>
  <c r="L121" i="2"/>
  <c r="AA121" i="2" s="1"/>
  <c r="Z120" i="2"/>
  <c r="L120" i="2"/>
  <c r="AA120" i="2" s="1"/>
  <c r="Z119" i="2"/>
  <c r="L119" i="2"/>
  <c r="AA119" i="2" s="1"/>
  <c r="Z118" i="2"/>
  <c r="L118" i="2"/>
  <c r="AA118" i="2" s="1"/>
  <c r="Z117" i="2"/>
  <c r="W117" i="2"/>
  <c r="L117" i="2"/>
  <c r="AA117" i="2" s="1"/>
  <c r="AA116" i="2"/>
  <c r="Z116" i="2"/>
  <c r="L116" i="2"/>
  <c r="Z115" i="2"/>
  <c r="L115" i="2"/>
  <c r="AA115" i="2" s="1"/>
  <c r="Z113" i="2"/>
  <c r="AA113" i="2" s="1"/>
  <c r="W113" i="2"/>
  <c r="V113" i="2"/>
  <c r="U113" i="2"/>
  <c r="L113" i="2"/>
  <c r="Z112" i="2"/>
  <c r="L112" i="2"/>
  <c r="AA112" i="2" s="1"/>
  <c r="Z111" i="2"/>
  <c r="L111" i="2"/>
  <c r="AA111" i="2" s="1"/>
  <c r="Z110" i="2"/>
  <c r="U110" i="2"/>
  <c r="L110" i="2"/>
  <c r="AA110" i="2" s="1"/>
  <c r="Z109" i="2"/>
  <c r="L109" i="2"/>
  <c r="AA109" i="2" s="1"/>
  <c r="Z108" i="2"/>
  <c r="W108" i="2"/>
  <c r="V108" i="2"/>
  <c r="L108" i="2"/>
  <c r="AA108" i="2" s="1"/>
  <c r="Z107" i="2"/>
  <c r="W107" i="2"/>
  <c r="V107" i="2"/>
  <c r="U107" i="2"/>
  <c r="L107" i="2"/>
  <c r="AA107" i="2" s="1"/>
  <c r="Z106" i="2"/>
  <c r="L106" i="2"/>
  <c r="AA106" i="2" s="1"/>
  <c r="Z104" i="2"/>
  <c r="L104" i="2"/>
  <c r="AA104" i="2" s="1"/>
  <c r="Z103" i="2"/>
  <c r="L103" i="2"/>
  <c r="AA103" i="2" s="1"/>
  <c r="Z102" i="2"/>
  <c r="L102" i="2"/>
  <c r="AA102" i="2" s="1"/>
  <c r="Z101" i="2"/>
  <c r="AA101" i="2" s="1"/>
  <c r="L101" i="2"/>
  <c r="Z99" i="2"/>
  <c r="V99" i="2"/>
  <c r="L99" i="2"/>
  <c r="AA99" i="2" s="1"/>
  <c r="Z98" i="2"/>
  <c r="L98" i="2"/>
  <c r="AA98" i="2" s="1"/>
  <c r="Z97" i="2"/>
  <c r="W97" i="2"/>
  <c r="V97" i="2"/>
  <c r="J97" i="2"/>
  <c r="L97" i="2" s="1"/>
  <c r="AA97" i="2" s="1"/>
  <c r="Z96" i="2"/>
  <c r="L96" i="2"/>
  <c r="AA96" i="2" s="1"/>
  <c r="Z95" i="2"/>
  <c r="AA95" i="2" s="1"/>
  <c r="V95" i="2"/>
  <c r="L95" i="2"/>
  <c r="Z93" i="2"/>
  <c r="L93" i="2"/>
  <c r="AA93" i="2" s="1"/>
  <c r="Z92" i="2"/>
  <c r="U92" i="2"/>
  <c r="J92" i="2"/>
  <c r="L92" i="2" s="1"/>
  <c r="AA92" i="2" s="1"/>
  <c r="Z91" i="2"/>
  <c r="L91" i="2"/>
  <c r="AA91" i="2" s="1"/>
  <c r="Z90" i="2"/>
  <c r="L90" i="2"/>
  <c r="AA90" i="2" s="1"/>
  <c r="Z89" i="2"/>
  <c r="L89" i="2"/>
  <c r="AA89" i="2" s="1"/>
  <c r="Z88" i="2"/>
  <c r="AA88" i="2" s="1"/>
  <c r="L88" i="2"/>
  <c r="Z87" i="2"/>
  <c r="W87" i="2"/>
  <c r="V87" i="2"/>
  <c r="U87" i="2"/>
  <c r="L87" i="2"/>
  <c r="AA87" i="2" s="1"/>
  <c r="Z86" i="2"/>
  <c r="L86" i="2"/>
  <c r="AA86" i="2" s="1"/>
  <c r="Z85" i="2"/>
  <c r="AA85" i="2" s="1"/>
  <c r="W85" i="2"/>
  <c r="V85" i="2"/>
  <c r="U85" i="2"/>
  <c r="L85" i="2"/>
  <c r="Z82" i="2"/>
  <c r="AA82" i="2" s="1"/>
  <c r="W82" i="2"/>
  <c r="V82" i="2"/>
  <c r="U82" i="2"/>
  <c r="L82" i="2"/>
  <c r="Z81" i="2"/>
  <c r="AA81" i="2" s="1"/>
  <c r="Z80" i="2"/>
  <c r="W80" i="2"/>
  <c r="V80" i="2"/>
  <c r="L80" i="2"/>
  <c r="AA80" i="2" s="1"/>
  <c r="Z79" i="2"/>
  <c r="L79" i="2"/>
  <c r="AA79" i="2" s="1"/>
  <c r="Z78" i="2"/>
  <c r="L78" i="2"/>
  <c r="AA78" i="2" s="1"/>
  <c r="Z77" i="2"/>
  <c r="X77" i="2"/>
  <c r="W77" i="2"/>
  <c r="V77" i="2"/>
  <c r="H77" i="2"/>
  <c r="L77" i="2" s="1"/>
  <c r="AA77" i="2" s="1"/>
  <c r="Z75" i="2"/>
  <c r="X75" i="2"/>
  <c r="W75" i="2"/>
  <c r="V75" i="2"/>
  <c r="U75" i="2"/>
  <c r="I75" i="2"/>
  <c r="L75" i="2" s="1"/>
  <c r="Z74" i="2"/>
  <c r="AA74" i="2" s="1"/>
  <c r="L74" i="2"/>
  <c r="Z73" i="2"/>
  <c r="L73" i="2"/>
  <c r="AA73" i="2" s="1"/>
  <c r="Z72" i="2"/>
  <c r="L72" i="2"/>
  <c r="AA72" i="2" s="1"/>
  <c r="AA71" i="2"/>
  <c r="Z71" i="2"/>
  <c r="L71" i="2"/>
  <c r="AA68" i="2"/>
  <c r="Z68" i="2"/>
  <c r="Z136" i="2" s="1"/>
  <c r="Y68" i="2"/>
  <c r="Y136" i="2" s="1"/>
  <c r="X68" i="2"/>
  <c r="X136" i="2" s="1"/>
  <c r="W68" i="2"/>
  <c r="W136" i="2" s="1"/>
  <c r="V68" i="2"/>
  <c r="V136" i="2" s="1"/>
  <c r="U68" i="2"/>
  <c r="U136" i="2" s="1"/>
  <c r="T68" i="2"/>
  <c r="T136" i="2" s="1"/>
  <c r="S68" i="2"/>
  <c r="S136" i="2" s="1"/>
  <c r="R68" i="2"/>
  <c r="R136" i="2" s="1"/>
  <c r="Q68" i="2"/>
  <c r="P68" i="2"/>
  <c r="O68" i="2"/>
  <c r="N68" i="2"/>
  <c r="M68" i="2"/>
  <c r="L68" i="2"/>
  <c r="K68" i="2"/>
  <c r="J68" i="2"/>
  <c r="I68" i="2"/>
  <c r="H68" i="2"/>
  <c r="T62" i="2"/>
  <c r="S62" i="2"/>
  <c r="R62" i="2"/>
  <c r="Q62" i="2"/>
  <c r="P62" i="2"/>
  <c r="O62" i="2"/>
  <c r="N62" i="2"/>
  <c r="M62" i="2"/>
  <c r="K62" i="2"/>
  <c r="J62" i="2"/>
  <c r="I62" i="2"/>
  <c r="H62" i="2"/>
  <c r="Z61" i="2"/>
  <c r="AA61" i="2" s="1"/>
  <c r="L61" i="2"/>
  <c r="Z60" i="2"/>
  <c r="L60" i="2"/>
  <c r="AA60" i="2" s="1"/>
  <c r="Z59" i="2"/>
  <c r="L59" i="2"/>
  <c r="AA59" i="2" s="1"/>
  <c r="Z58" i="2"/>
  <c r="J58" i="2"/>
  <c r="L58" i="2" s="1"/>
  <c r="AA58" i="2" s="1"/>
  <c r="Z57" i="2"/>
  <c r="L57" i="2"/>
  <c r="AA57" i="2" s="1"/>
  <c r="Z56" i="2"/>
  <c r="L56" i="2"/>
  <c r="AA56" i="2" s="1"/>
  <c r="Z55" i="2"/>
  <c r="L55" i="2"/>
  <c r="AA55" i="2" s="1"/>
  <c r="Z54" i="2"/>
  <c r="L54" i="2"/>
  <c r="AA54" i="2" s="1"/>
  <c r="Z53" i="2"/>
  <c r="L53" i="2"/>
  <c r="AA53" i="2" s="1"/>
  <c r="Z50" i="2"/>
  <c r="L50" i="2"/>
  <c r="AA50" i="2" s="1"/>
  <c r="Z49" i="2"/>
  <c r="X49" i="2"/>
  <c r="V49" i="2"/>
  <c r="H49" i="2"/>
  <c r="L49" i="2" s="1"/>
  <c r="AA49" i="2" s="1"/>
  <c r="Z48" i="2"/>
  <c r="L48" i="2"/>
  <c r="AA48" i="2" s="1"/>
  <c r="Z47" i="2"/>
  <c r="AA46" i="2"/>
  <c r="Z46" i="2"/>
  <c r="L46" i="2"/>
  <c r="Z45" i="2"/>
  <c r="L45" i="2"/>
  <c r="AA45" i="2" s="1"/>
  <c r="Z44" i="2"/>
  <c r="X44" i="2"/>
  <c r="W44" i="2"/>
  <c r="V44" i="2"/>
  <c r="H44" i="2"/>
  <c r="L44" i="2" s="1"/>
  <c r="AA44" i="2" s="1"/>
  <c r="Z42" i="2"/>
  <c r="L42" i="2"/>
  <c r="AA42" i="2" s="1"/>
  <c r="Z41" i="2"/>
  <c r="L41" i="2"/>
  <c r="AA41" i="2" s="1"/>
  <c r="Z40" i="2"/>
  <c r="AA40" i="2" s="1"/>
  <c r="L40" i="2"/>
  <c r="Z39" i="2"/>
  <c r="X39" i="2"/>
  <c r="W39" i="2"/>
  <c r="V39" i="2"/>
  <c r="H39" i="2"/>
  <c r="L39" i="2" s="1"/>
  <c r="AA39" i="2" s="1"/>
  <c r="Z37" i="2"/>
  <c r="L37" i="2"/>
  <c r="AA37" i="2" s="1"/>
  <c r="Z36" i="2"/>
  <c r="V36" i="2"/>
  <c r="U36" i="2"/>
  <c r="L36" i="2"/>
  <c r="AA36" i="2" s="1"/>
  <c r="Z35" i="2"/>
  <c r="Z33" i="2"/>
  <c r="L33" i="2"/>
  <c r="AA33" i="2" s="1"/>
  <c r="Z32" i="2"/>
  <c r="L32" i="2"/>
  <c r="AA32" i="2" s="1"/>
  <c r="Z31" i="2"/>
  <c r="W31" i="2"/>
  <c r="U31" i="2"/>
  <c r="L31" i="2"/>
  <c r="AA31" i="2" s="1"/>
  <c r="Z30" i="2"/>
  <c r="L30" i="2"/>
  <c r="AA30" i="2" s="1"/>
  <c r="Z29" i="2"/>
  <c r="Z27" i="2"/>
  <c r="L27" i="2"/>
  <c r="AA27" i="2" s="1"/>
  <c r="Z26" i="2"/>
  <c r="L26" i="2"/>
  <c r="AA26" i="2" s="1"/>
  <c r="Z25" i="2"/>
  <c r="AA25" i="2" s="1"/>
  <c r="L25" i="2"/>
  <c r="Z24" i="2"/>
  <c r="L24" i="2"/>
  <c r="AA24" i="2" s="1"/>
  <c r="Z23" i="2"/>
  <c r="Y23" i="2"/>
  <c r="L23" i="2"/>
  <c r="AA23" i="2" s="1"/>
  <c r="Z22" i="2"/>
  <c r="Y22" i="2"/>
  <c r="Y62" i="2" s="1"/>
  <c r="L22" i="2"/>
  <c r="AA22" i="2" s="1"/>
  <c r="Z21" i="2"/>
  <c r="L21" i="2"/>
  <c r="AA21" i="2" s="1"/>
  <c r="Z20" i="2"/>
  <c r="W20" i="2"/>
  <c r="U20" i="2"/>
  <c r="L20" i="2"/>
  <c r="AA20" i="2" s="1"/>
  <c r="Z19" i="2"/>
  <c r="X19" i="2"/>
  <c r="X62" i="2" s="1"/>
  <c r="W19" i="2"/>
  <c r="V19" i="2"/>
  <c r="V62" i="2" s="1"/>
  <c r="U19" i="2"/>
  <c r="L19" i="2"/>
  <c r="AA19" i="2" s="1"/>
  <c r="Z18" i="2"/>
  <c r="AA18" i="2" s="1"/>
  <c r="Z16" i="2"/>
  <c r="W16" i="2"/>
  <c r="U16" i="2"/>
  <c r="L16" i="2"/>
  <c r="AA16" i="2" s="1"/>
  <c r="Z15" i="2"/>
  <c r="U15" i="2"/>
  <c r="L15" i="2"/>
  <c r="Z14" i="2"/>
  <c r="AA14" i="2" s="1"/>
  <c r="U14" i="2"/>
  <c r="L14" i="2"/>
  <c r="Z13" i="2"/>
  <c r="W13" i="2"/>
  <c r="W62" i="2" s="1"/>
  <c r="U13" i="2"/>
  <c r="U62" i="2" s="1"/>
  <c r="L13" i="2"/>
  <c r="AA13" i="2" s="1"/>
  <c r="O17" i="4"/>
  <c r="P17" i="4" s="1"/>
  <c r="O13" i="4"/>
  <c r="D32" i="4"/>
  <c r="D33" i="4" s="1"/>
  <c r="D35" i="4" s="1"/>
  <c r="D37" i="4" s="1"/>
  <c r="D39" i="4" s="1"/>
  <c r="J30" i="4" s="1"/>
  <c r="J32" i="4" s="1"/>
  <c r="J34" i="4" s="1"/>
  <c r="J36" i="4" s="1"/>
  <c r="D31" i="4"/>
  <c r="D30" i="4"/>
  <c r="N26" i="4"/>
  <c r="M26" i="4"/>
  <c r="L26" i="4"/>
  <c r="K26" i="4"/>
  <c r="J26" i="4"/>
  <c r="I26" i="4"/>
  <c r="H26" i="4"/>
  <c r="F26" i="4"/>
  <c r="E26" i="4"/>
  <c r="D26" i="4"/>
  <c r="C26" i="4"/>
  <c r="B22" i="4"/>
  <c r="B26" i="4" s="1"/>
  <c r="O20" i="4"/>
  <c r="J20" i="4"/>
  <c r="I20" i="4"/>
  <c r="H20" i="4"/>
  <c r="G20" i="4"/>
  <c r="G26" i="4" s="1"/>
  <c r="F20" i="4"/>
  <c r="E20" i="4"/>
  <c r="D20" i="4"/>
  <c r="C20" i="4"/>
  <c r="E19" i="4"/>
  <c r="O19" i="4" s="1"/>
  <c r="P19" i="4" s="1"/>
  <c r="P18" i="4"/>
  <c r="O18" i="4"/>
  <c r="P15" i="4"/>
  <c r="O15" i="4"/>
  <c r="O14" i="4"/>
  <c r="P13" i="4"/>
  <c r="L136" i="2" l="1"/>
  <c r="AA136" i="2" s="1"/>
  <c r="AA75" i="2"/>
  <c r="L62" i="2"/>
  <c r="Z62" i="2"/>
  <c r="AA15" i="2"/>
  <c r="AA62" i="2" s="1"/>
  <c r="O26" i="4"/>
  <c r="P14" i="4"/>
  <c r="P26" i="4" s="1"/>
  <c r="M67" i="2" l="1"/>
  <c r="I67" i="2"/>
  <c r="J157" i="2" l="1"/>
  <c r="I157" i="2"/>
  <c r="J156" i="2"/>
  <c r="I156" i="2"/>
  <c r="N138" i="2"/>
  <c r="N139" i="2" l="1"/>
  <c r="J146" i="2"/>
  <c r="I152" i="2" l="1"/>
  <c r="I153" i="2" l="1"/>
  <c r="I154" i="2" s="1"/>
</calcChain>
</file>

<file path=xl/sharedStrings.xml><?xml version="1.0" encoding="utf-8"?>
<sst xmlns="http://schemas.openxmlformats.org/spreadsheetml/2006/main" count="257" uniqueCount="229">
  <si>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</si>
  <si>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</si>
  <si>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</si>
  <si>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</si>
  <si>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</si>
  <si>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</si>
  <si>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</si>
  <si>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</si>
  <si>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</si>
  <si>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</si>
  <si>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</si>
  <si>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</si>
  <si>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</si>
  <si>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</si>
  <si>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</si>
  <si>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</si>
  <si>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</si>
  <si>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</si>
  <si>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</si>
  <si>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</si>
  <si>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</si>
  <si>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</si>
  <si>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</si>
  <si>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</si>
  <si>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</si>
  <si>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</si>
  <si>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</si>
  <si>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</si>
  <si>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</si>
  <si>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</si>
  <si>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</si>
  <si>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</si>
  <si>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</si>
  <si>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</si>
  <si>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</si>
  <si>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</si>
  <si>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</si>
  <si>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</si>
  <si>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</si>
  <si>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</si>
  <si>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</si>
  <si>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</si>
  <si>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</si>
  <si>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</si>
  <si>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</si>
  <si>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</si>
  <si>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</si>
  <si>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</si>
  <si>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</si>
  <si>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</si>
  <si>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</si>
  <si>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</si>
  <si>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</si>
  <si>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</si>
  <si>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</si>
  <si>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</si>
  <si>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</si>
  <si>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</si>
  <si>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</si>
  <si>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</si>
  <si>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</si>
  <si>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</si>
  <si>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</si>
  <si>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</si>
  <si>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</si>
  <si>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</si>
  <si>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</si>
  <si>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</si>
  <si>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</si>
  <si>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</si>
  <si>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</si>
  <si>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</si>
  <si>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</si>
  <si>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</si>
  <si>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</si>
  <si>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</si>
  <si>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</si>
  <si>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</si>
  <si>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</si>
  <si>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</si>
  <si>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</si>
  <si>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</si>
  <si>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</si>
  <si>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</si>
  <si>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</si>
  <si>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</si>
  <si>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</si>
  <si>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</si>
  <si>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</si>
  <si>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</si>
  <si>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</si>
  <si>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</si>
  <si>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</si>
  <si>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</si>
  <si>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</si>
  <si>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</si>
  <si>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</si>
  <si>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</si>
  <si>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</si>
  <si>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</si>
  <si>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</si>
  <si>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</si>
  <si>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</si>
  <si>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</si>
  <si>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</si>
  <si>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</si>
  <si>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</si>
  <si>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</si>
  <si>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</si>
  <si>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</si>
  <si>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</si>
  <si>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</si>
  <si>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</si>
  <si>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</si>
  <si>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</si>
  <si>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</si>
  <si>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</si>
  <si>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</si>
  <si>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</si>
  <si>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</si>
  <si>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</si>
  <si>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</si>
  <si>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</si>
  <si>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</si>
  <si>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</si>
  <si>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</si>
  <si>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</si>
  <si>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</si>
  <si>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</si>
  <si>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</si>
  <si>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</si>
  <si>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</si>
  <si>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</si>
  <si>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</si>
  <si>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</si>
  <si>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</si>
  <si>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</si>
  <si>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</si>
  <si>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</si>
  <si>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</si>
  <si>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</si>
  <si>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</si>
  <si>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</si>
  <si>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</si>
  <si>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</si>
  <si>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</si>
  <si>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</si>
  <si>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</si>
  <si>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</si>
  <si>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</si>
  <si>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</si>
  <si>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</si>
  <si>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</si>
  <si>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</si>
  <si>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</si>
  <si>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</si>
  <si>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</si>
  <si>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</si>
  <si>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</si>
  <si>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</si>
  <si>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</si>
  <si>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</si>
  <si>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</si>
  <si>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</si>
  <si>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</si>
  <si>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</si>
  <si>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</si>
  <si>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</si>
  <si>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</si>
  <si>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</si>
  <si>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</si>
  <si>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</si>
  <si>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</si>
  <si>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</si>
  <si>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</si>
  <si>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</si>
  <si>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</si>
  <si>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</si>
  <si>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</si>
  <si>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</si>
  <si>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</si>
  <si>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</si>
  <si>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</si>
  <si>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</si>
  <si>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</si>
  <si>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</si>
  <si>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</si>
  <si>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</si>
  <si>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</si>
  <si>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</si>
  <si>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</si>
  <si>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</si>
  <si>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</si>
  <si>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</si>
  <si>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</si>
  <si>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</si>
  <si>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</si>
  <si>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</si>
  <si>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</si>
  <si>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</si>
  <si>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</si>
  <si>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</si>
  <si>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</si>
  <si>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</si>
  <si>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</si>
  <si>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Saldo de Caja 2025</t>
  </si>
  <si>
    <t>C.O.G. 2025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</si>
  <si>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</si>
  <si>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</si>
  <si>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</si>
  <si>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</si>
  <si>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</si>
  <si>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</si>
  <si>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2,025</t>
  </si>
  <si>
    <t xml:space="preserve">Febrero </t>
  </si>
  <si>
    <t>Marzo</t>
  </si>
  <si>
    <t xml:space="preserve">Mayo </t>
  </si>
  <si>
    <t>Junio</t>
  </si>
  <si>
    <t xml:space="preserve">Ejecutado </t>
  </si>
  <si>
    <t xml:space="preserve">Disponible </t>
  </si>
  <si>
    <t xml:space="preserve">APROBACIÓN </t>
  </si>
  <si>
    <t xml:space="preserve">SALDO DE CAJA </t>
  </si>
  <si>
    <t>AMPLEACIÓN C.O.G.</t>
  </si>
  <si>
    <t>AMPLEACIÓN C.D.A.G.</t>
  </si>
  <si>
    <t>Julio</t>
  </si>
  <si>
    <t>(+) Saldo de julio 2025</t>
  </si>
  <si>
    <t>Actualizado: 31 de agosto de  2025</t>
  </si>
  <si>
    <t>Actualizado: 31 de agosto 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</si>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</sst>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4" fontId="16" fillId="2" borderId="0" xfId="0" applyNumberFormat="1" applyFont="1" applyFill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2" fillId="2" borderId="0" xfId="0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/>
    <xf numFmtId="4" fontId="16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/>
    <xf numFmtId="0" fontId="20" fillId="2" borderId="0" xfId="0" applyFont="1" applyFill="1"/>
    <xf numFmtId="4" fontId="20" fillId="2" borderId="0" xfId="0" applyNumberFormat="1" applyFont="1" applyFill="1"/>
    <xf numFmtId="166" fontId="2" fillId="2" borderId="0" xfId="0" applyNumberFormat="1" applyFont="1" applyFill="1"/>
    <xf numFmtId="4" fontId="4" fillId="0" borderId="0" xfId="1" applyNumberFormat="1" applyFont="1"/>
    <xf numFmtId="164" fontId="2" fillId="2" borderId="0" xfId="0" applyNumberFormat="1" applyFont="1" applyFill="1"/>
    <xf numFmtId="4" fontId="0" fillId="2" borderId="0" xfId="0" applyNumberFormat="1" applyFill="1"/>
    <xf numFmtId="166" fontId="2" fillId="0" borderId="0" xfId="0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0" fontId="13" fillId="4" borderId="10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2" fontId="13" fillId="4" borderId="11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9" fontId="13" fillId="4" borderId="10" xfId="0" applyNumberFormat="1" applyFont="1" applyFill="1" applyBorder="1" applyAlignment="1">
      <alignment horizontal="center" vertical="center" wrapText="1"/>
    </xf>
    <xf numFmtId="9" fontId="13" fillId="4" borderId="14" xfId="0" applyNumberFormat="1" applyFont="1" applyFill="1" applyBorder="1" applyAlignment="1">
      <alignment horizontal="center" vertical="center" wrapText="1"/>
    </xf>
    <xf numFmtId="9" fontId="13" fillId="4" borderId="8" xfId="0" applyNumberFormat="1" applyFont="1" applyFill="1" applyBorder="1" applyAlignment="1">
      <alignment horizontal="center" vertical="center" wrapText="1"/>
    </xf>
    <xf numFmtId="9" fontId="13" fillId="4" borderId="13" xfId="0" applyNumberFormat="1" applyFont="1" applyFill="1" applyBorder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361950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\OneDrive\Escritorio\Raquetbol%202023\Raquetbol%202025\Estados%20Financieros%202025\09.%20EJECUCI&#211;N%20PRESUPUESTARIA%202025.xlsx" TargetMode="External"/><Relationship Id="rId1" Type="http://schemas.openxmlformats.org/officeDocument/2006/relationships/externalLinkPath" Target="/Users/conta/OneDrive/Escritorio/Raquetbol%202023/Raquetbol%202025/Estados%20Financieros%202025/09.%20EJECUCI&#211;N%20PRESUPUEST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qu\OneDrive\Escritorio\Raquetbol%202023\ESTADOS%20FINANCIEROS%202023\2.%20Ejecucion%202023.xlsx" TargetMode="External"/><Relationship Id="rId1" Type="http://schemas.openxmlformats.org/officeDocument/2006/relationships/externalLinkPath" Target="/Users/racqu/OneDrive/Escritorio/Raquetbol%202023/ESTADOS%20FINANCIEROS%202023/2.%20Ejecu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Enero 2024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Enero 2025"/>
      <sheetName val="Febrero 2025"/>
      <sheetName val="Marzo 2025"/>
      <sheetName val="Abril 2025"/>
      <sheetName val="INGRESOS 2024"/>
      <sheetName val="mayo 2025"/>
      <sheetName val="Ingresos junio 2025"/>
      <sheetName val="Junio 2025"/>
      <sheetName val="Ingresos julio 2025"/>
      <sheetName val="julio 2025"/>
      <sheetName val="ingresos agosto 2025"/>
      <sheetName val="agost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4"/>
      <sheetName val="Hoja1"/>
      <sheetName val=" Egresos 2016"/>
      <sheetName val="Hoja5"/>
      <sheetName val="MAYO  2017"/>
      <sheetName val="EGRESOS 2017"/>
      <sheetName val="junio 2017"/>
      <sheetName val="julio  2017"/>
      <sheetName val="Agosto "/>
      <sheetName val="octubre"/>
      <sheetName val="NOVIEMBRE"/>
      <sheetName val="diciembre "/>
      <sheetName val="Ingresos 2017"/>
      <sheetName val="ENERO "/>
      <sheetName val="marzo "/>
      <sheetName val="abril "/>
      <sheetName val="junio 2018"/>
      <sheetName val="julio 2018"/>
      <sheetName val="agosto 2018"/>
      <sheetName val="Octubre 2018"/>
      <sheetName val="NOVIEMBRE 2018"/>
      <sheetName val="ENERO 2019"/>
      <sheetName val="FEBRERO 2019"/>
      <sheetName val="MARZO 2019"/>
      <sheetName val="Presupuesto 2019"/>
      <sheetName val="abril 2019"/>
      <sheetName val="correcto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Hoja2"/>
      <sheetName val="febrero 2020"/>
      <sheetName val="marzo 2020"/>
      <sheetName val="abril 2020"/>
      <sheetName val="mayo 2020"/>
      <sheetName val="JUNIO 2020"/>
      <sheetName val="julio 2020"/>
      <sheetName val="agosto 2020"/>
      <sheetName val="septeimbre 2020"/>
      <sheetName val="octubre 2020"/>
      <sheetName val="Noviembre 2020"/>
      <sheetName val="INGRESOS 2020"/>
      <sheetName val="diciembre 2020"/>
      <sheetName val="ENERO 2021"/>
      <sheetName val="enero 21"/>
      <sheetName val="Hoja3"/>
      <sheetName val="FEBRERO 2021"/>
      <sheetName val="INGRESOS 2021"/>
      <sheetName val="Hoja7"/>
      <sheetName val="marzo 2021"/>
      <sheetName val="Hoja8"/>
      <sheetName val="abril 2021"/>
      <sheetName val="Hoja6"/>
      <sheetName val="mayo 2021"/>
      <sheetName val="mayo 021"/>
      <sheetName val="junio 2021"/>
      <sheetName val="junio 021"/>
      <sheetName val="21 Junio "/>
      <sheetName val="2021 Junio"/>
      <sheetName val="21 julio "/>
      <sheetName val="2021 julio "/>
      <sheetName val="21 agos"/>
      <sheetName val="2021 agosto"/>
      <sheetName val="sep 2021"/>
      <sheetName val="septiembre 2021"/>
      <sheetName val="octu21"/>
      <sheetName val="octubre 2021"/>
      <sheetName val="Hoja11"/>
      <sheetName val="nov21"/>
      <sheetName val="noviembre 2021"/>
      <sheetName val="2. INGRESOS 2021"/>
      <sheetName val="dic21"/>
      <sheetName val="Enero 2022"/>
      <sheetName val="febrero"/>
      <sheetName val="febrero 2022"/>
      <sheetName val="marzo 2022"/>
      <sheetName val="marzo 22"/>
      <sheetName val="abril 22"/>
      <sheetName val="abril 2022"/>
      <sheetName val="mayo 22"/>
      <sheetName val="mayo 2022"/>
      <sheetName val="junio 22"/>
      <sheetName val="junio2022"/>
      <sheetName val="julio 22"/>
      <sheetName val="julio 2022"/>
      <sheetName val="agosto 22"/>
      <sheetName val="agosto 2022"/>
      <sheetName val="Hoja9"/>
      <sheetName val="septiembre 22"/>
      <sheetName val="Septiembre 2022"/>
      <sheetName val="Hoja10"/>
      <sheetName val="octubre 2022"/>
      <sheetName val="Hoja13"/>
      <sheetName val="oct 2022"/>
      <sheetName val="octubre22"/>
      <sheetName val="nov 202"/>
      <sheetName val="noviembre 2022"/>
      <sheetName val="dic 22"/>
      <sheetName val="diciembre 2022"/>
      <sheetName val="INGRESOS 2023"/>
      <sheetName val="Ener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30">
          <cell r="I130">
            <v>1167532.82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1">
          <cell r="Y131">
            <v>1320782.7289999998</v>
          </cell>
        </row>
      </sheetData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F40" sqref="F40"/>
    </sheetView>
  </sheetViews>
  <sheetFormatPr baseColWidth="10" defaultRowHeight="15" x14ac:dyDescent="0.25"/>
  <cols>
    <col min="1" max="1" width="20.42578125" customWidth="1"/>
    <col min="2" max="2" width="24.7109375" bestFit="1" customWidth="1"/>
    <col min="3" max="3" width="17.140625" customWidth="1"/>
    <col min="4" max="4" width="20.5703125" customWidth="1"/>
    <col min="5" max="5" width="12.28515625" customWidth="1"/>
    <col min="6" max="6" width="11.28515625" bestFit="1" customWidth="1"/>
    <col min="7" max="8" width="11.5703125" bestFit="1" customWidth="1"/>
    <col min="9" max="9" width="12.140625" customWidth="1"/>
    <col min="10" max="10" width="17.7109375" bestFit="1" customWidth="1"/>
    <col min="11" max="11" width="14.140625" bestFit="1" customWidth="1"/>
    <col min="12" max="12" width="11.28515625" bestFit="1" customWidth="1"/>
    <col min="13" max="13" width="13.42578125" bestFit="1" customWidth="1"/>
    <col min="14" max="14" width="12.7109375" bestFit="1" customWidth="1"/>
    <col min="15" max="15" width="13.28515625" bestFit="1" customWidth="1"/>
    <col min="16" max="16" width="13.42578125" bestFit="1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0" t="s">
        <v>38</v>
      </c>
      <c r="E3" s="140"/>
      <c r="F3" s="140"/>
      <c r="G3" s="140"/>
      <c r="H3" s="140"/>
      <c r="I3" s="140"/>
      <c r="J3" s="140"/>
      <c r="K3" s="140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1" t="s">
        <v>39</v>
      </c>
      <c r="E4" s="141"/>
      <c r="F4" s="141"/>
      <c r="G4" s="141"/>
      <c r="H4" s="141"/>
      <c r="I4" s="141"/>
      <c r="J4" s="141"/>
      <c r="K4" s="141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0" t="s">
        <v>40</v>
      </c>
      <c r="E5" s="140"/>
      <c r="F5" s="140"/>
      <c r="G5" s="140"/>
      <c r="H5" s="140"/>
      <c r="I5" s="140"/>
      <c r="J5" s="140"/>
      <c r="K5" s="140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1" t="s">
        <v>226</v>
      </c>
      <c r="E6" s="141"/>
      <c r="F6" s="141"/>
      <c r="G6" s="141"/>
      <c r="H6" s="141"/>
      <c r="I6" s="141"/>
      <c r="J6" s="141"/>
      <c r="K6" s="141"/>
      <c r="M6" s="34"/>
    </row>
    <row r="7" spans="1:28" x14ac:dyDescent="0.25">
      <c r="A7" s="1"/>
      <c r="B7" s="1"/>
      <c r="C7" s="1"/>
      <c r="D7" s="1"/>
      <c r="E7" s="1"/>
      <c r="G7" s="139" t="s">
        <v>0</v>
      </c>
      <c r="H7" s="139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ht="15.75" thickBot="1" x14ac:dyDescent="0.3">
      <c r="A10" s="1"/>
      <c r="B10" s="1"/>
      <c r="C10" s="1"/>
      <c r="D10" s="1"/>
      <c r="E10" s="1"/>
      <c r="F10" s="2"/>
      <c r="G10" s="2"/>
      <c r="H10" s="2"/>
    </row>
    <row r="11" spans="1:28" ht="16.5" thickTop="1" thickBot="1" x14ac:dyDescent="0.3">
      <c r="A11" s="127"/>
      <c r="B11" s="127" t="s">
        <v>1</v>
      </c>
      <c r="C11" s="127" t="s">
        <v>2</v>
      </c>
      <c r="D11" s="127" t="s">
        <v>3</v>
      </c>
      <c r="E11" s="127" t="s">
        <v>4</v>
      </c>
      <c r="F11" s="127" t="s">
        <v>5</v>
      </c>
      <c r="G11" s="127" t="s">
        <v>6</v>
      </c>
      <c r="H11" s="127" t="s">
        <v>7</v>
      </c>
      <c r="I11" s="127" t="s">
        <v>8</v>
      </c>
      <c r="J11" s="127" t="s">
        <v>9</v>
      </c>
      <c r="K11" s="127" t="s">
        <v>10</v>
      </c>
      <c r="L11" s="127" t="s">
        <v>11</v>
      </c>
      <c r="M11" s="127" t="s">
        <v>12</v>
      </c>
      <c r="N11" s="127" t="s">
        <v>13</v>
      </c>
      <c r="O11" s="127" t="s">
        <v>218</v>
      </c>
      <c r="P11" s="127" t="s">
        <v>219</v>
      </c>
    </row>
    <row r="12" spans="1:28" ht="16.5" thickTop="1" thickBot="1" x14ac:dyDescent="0.3">
      <c r="A12" s="127" t="s">
        <v>14</v>
      </c>
      <c r="B12" s="127" t="s">
        <v>220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8" ht="16.5" thickTop="1" thickBot="1" x14ac:dyDescent="0.3">
      <c r="A13" s="127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0</v>
      </c>
      <c r="K13" s="6">
        <v>0</v>
      </c>
      <c r="L13" s="6">
        <v>0</v>
      </c>
      <c r="M13" s="6">
        <v>0</v>
      </c>
      <c r="N13" s="6">
        <v>0</v>
      </c>
      <c r="O13" s="6">
        <f>SUM(C13:N13)</f>
        <v>0</v>
      </c>
      <c r="P13" s="6">
        <f>SUM(D13:O13)</f>
        <v>0</v>
      </c>
    </row>
    <row r="14" spans="1:28" ht="16.5" thickTop="1" thickBot="1" x14ac:dyDescent="0.3">
      <c r="A14" s="127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7">
        <v>0</v>
      </c>
      <c r="K14" s="6">
        <v>0</v>
      </c>
      <c r="L14" s="6">
        <v>0</v>
      </c>
      <c r="M14" s="6">
        <v>0</v>
      </c>
      <c r="N14" s="6">
        <v>0</v>
      </c>
      <c r="O14" s="6">
        <f>SUM(C14:N14)</f>
        <v>0</v>
      </c>
      <c r="P14" s="6">
        <f>SUM(D14:O14)</f>
        <v>0</v>
      </c>
    </row>
    <row r="15" spans="1:28" ht="16.5" thickTop="1" thickBot="1" x14ac:dyDescent="0.3">
      <c r="A15" s="128"/>
      <c r="B15" s="129"/>
      <c r="C15" s="109"/>
      <c r="D15" s="109"/>
      <c r="E15" s="109"/>
      <c r="F15" s="109"/>
      <c r="G15" s="109"/>
      <c r="H15" s="109"/>
      <c r="I15" s="6"/>
      <c r="J15" s="109"/>
      <c r="K15" s="6"/>
      <c r="L15" s="6"/>
      <c r="M15" s="6"/>
      <c r="N15" s="6"/>
      <c r="O15" s="6">
        <f>SUM(C15:L15)</f>
        <v>0</v>
      </c>
      <c r="P15" s="6">
        <f>SUM(D15:M15)</f>
        <v>0</v>
      </c>
    </row>
    <row r="16" spans="1:28" ht="16.5" thickTop="1" thickBot="1" x14ac:dyDescent="0.3">
      <c r="A16" s="127" t="s">
        <v>17</v>
      </c>
      <c r="B16" s="130"/>
      <c r="C16" s="6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</row>
    <row r="17" spans="1:16" ht="16.5" thickTop="1" thickBot="1" x14ac:dyDescent="0.3">
      <c r="A17" s="127" t="s">
        <v>15</v>
      </c>
      <c r="B17" s="131">
        <v>9157760.7899999991</v>
      </c>
      <c r="C17" s="6">
        <v>763146.73</v>
      </c>
      <c r="D17" s="6">
        <v>763146.73</v>
      </c>
      <c r="E17" s="6">
        <v>763146.73</v>
      </c>
      <c r="F17" s="6">
        <v>763146.73</v>
      </c>
      <c r="G17" s="6">
        <v>498767</v>
      </c>
      <c r="H17" s="6">
        <v>873285</v>
      </c>
      <c r="I17" s="6">
        <v>710995.35</v>
      </c>
      <c r="J17" s="6">
        <v>685877.55</v>
      </c>
      <c r="K17" s="6">
        <v>0</v>
      </c>
      <c r="L17" s="6">
        <v>0</v>
      </c>
      <c r="M17" s="6">
        <v>0</v>
      </c>
      <c r="N17" s="6">
        <v>0</v>
      </c>
      <c r="O17" s="6">
        <f>SUM(C17:N17)</f>
        <v>5821511.8199999994</v>
      </c>
      <c r="P17" s="6">
        <f>B17-O17</f>
        <v>3336248.9699999997</v>
      </c>
    </row>
    <row r="18" spans="1:16" ht="27" thickTop="1" thickBot="1" x14ac:dyDescent="0.3">
      <c r="A18" s="132" t="s">
        <v>212</v>
      </c>
      <c r="B18" s="133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f>SUM(C18:N18)</f>
        <v>0</v>
      </c>
      <c r="P18" s="6">
        <f>SUM(D18:O18)</f>
        <v>0</v>
      </c>
    </row>
    <row r="19" spans="1:16" ht="16.5" thickTop="1" thickBot="1" x14ac:dyDescent="0.3">
      <c r="A19" s="127" t="s">
        <v>16</v>
      </c>
      <c r="B19" s="134">
        <v>708210.71</v>
      </c>
      <c r="C19" s="6">
        <v>0</v>
      </c>
      <c r="D19" s="6">
        <v>40434.959999999999</v>
      </c>
      <c r="E19" s="6">
        <f>85126.08</f>
        <v>85126.080000000002</v>
      </c>
      <c r="F19" s="6">
        <v>42563.040000000001</v>
      </c>
      <c r="G19" s="6">
        <v>166669.59</v>
      </c>
      <c r="H19" s="6">
        <v>42563.040000000001</v>
      </c>
      <c r="I19" s="6">
        <v>211057.6</v>
      </c>
      <c r="J19" s="6">
        <v>42563.040000000001</v>
      </c>
      <c r="K19" s="6">
        <v>0</v>
      </c>
      <c r="L19" s="6">
        <v>0</v>
      </c>
      <c r="M19" s="6">
        <v>0</v>
      </c>
      <c r="N19" s="6">
        <v>0</v>
      </c>
      <c r="O19" s="6">
        <f>SUM(C19:N19)</f>
        <v>630977.35000000009</v>
      </c>
      <c r="P19" s="6">
        <f>B19-O19</f>
        <v>77233.35999999987</v>
      </c>
    </row>
    <row r="20" spans="1:16" ht="16.5" thickTop="1" thickBot="1" x14ac:dyDescent="0.3">
      <c r="A20" s="127" t="s">
        <v>18</v>
      </c>
      <c r="B20" s="6">
        <v>0</v>
      </c>
      <c r="C20" s="6">
        <f>6033.98+38666.26</f>
        <v>44700.240000000005</v>
      </c>
      <c r="D20" s="6">
        <f>12763.24+38257.97</f>
        <v>51021.21</v>
      </c>
      <c r="E20" s="6">
        <f>48572.12</f>
        <v>48572.12</v>
      </c>
      <c r="F20" s="6">
        <f>11284.56+38391.61</f>
        <v>49676.17</v>
      </c>
      <c r="G20" s="6">
        <f>11806.06+41704.67</f>
        <v>53510.729999999996</v>
      </c>
      <c r="H20" s="6">
        <f>10565.52+40461.83</f>
        <v>51027.350000000006</v>
      </c>
      <c r="I20" s="6">
        <f>12169.82+43984.68</f>
        <v>56154.5</v>
      </c>
      <c r="J20" s="6">
        <f>10419.99+43512.82</f>
        <v>53932.81</v>
      </c>
      <c r="K20" s="6">
        <v>0</v>
      </c>
      <c r="L20" s="6">
        <v>0</v>
      </c>
      <c r="M20" s="6">
        <v>0</v>
      </c>
      <c r="N20" s="6">
        <v>0</v>
      </c>
      <c r="O20" s="6">
        <f>SUM(C20:N20)</f>
        <v>408595.12999999995</v>
      </c>
      <c r="P20" s="6">
        <v>0</v>
      </c>
    </row>
    <row r="21" spans="1:16" ht="33.75" customHeight="1" thickTop="1" thickBot="1" x14ac:dyDescent="0.3">
      <c r="A21" s="135" t="s">
        <v>221</v>
      </c>
      <c r="B21" s="6">
        <v>9687872.4900000002</v>
      </c>
      <c r="C21" s="6"/>
      <c r="D21" s="6"/>
      <c r="E21" s="6"/>
      <c r="F21" s="6"/>
      <c r="G21" s="6"/>
      <c r="H21" s="6"/>
      <c r="I21" s="6"/>
      <c r="J21" s="8"/>
      <c r="K21" s="6"/>
      <c r="L21" s="8"/>
      <c r="M21" s="8"/>
      <c r="N21" s="8"/>
      <c r="O21" s="6"/>
      <c r="P21" s="6"/>
    </row>
    <row r="22" spans="1:16" ht="33.75" customHeight="1" thickTop="1" thickBot="1" x14ac:dyDescent="0.3">
      <c r="A22" s="135" t="s">
        <v>222</v>
      </c>
      <c r="B22" s="134">
        <f>'[1]julio 2025'!I139</f>
        <v>0</v>
      </c>
      <c r="C22" s="6"/>
      <c r="D22" s="6"/>
      <c r="E22" s="6"/>
      <c r="F22" s="6"/>
      <c r="G22" s="6"/>
      <c r="H22" s="6"/>
      <c r="I22" s="6"/>
      <c r="J22" s="8"/>
      <c r="K22" s="6"/>
      <c r="L22" s="8"/>
      <c r="M22" s="8"/>
      <c r="N22" s="8"/>
      <c r="O22" s="6"/>
      <c r="P22" s="6"/>
    </row>
    <row r="23" spans="1:16" ht="36.75" customHeight="1" thickTop="1" thickBot="1" x14ac:dyDescent="0.3">
      <c r="A23" s="135" t="s">
        <v>223</v>
      </c>
      <c r="B23" s="134">
        <v>0</v>
      </c>
      <c r="C23" s="6"/>
      <c r="D23" s="6"/>
      <c r="E23" s="6"/>
      <c r="F23" s="6"/>
      <c r="G23" s="6"/>
      <c r="H23" s="6"/>
      <c r="I23" s="6"/>
      <c r="J23" s="8"/>
      <c r="K23" s="6"/>
      <c r="L23" s="8"/>
      <c r="M23" s="8"/>
      <c r="N23" s="8"/>
      <c r="O23" s="6"/>
      <c r="P23" s="6"/>
    </row>
    <row r="24" spans="1:16" ht="16.5" thickTop="1" thickBot="1" x14ac:dyDescent="0.3">
      <c r="A24" s="127" t="s">
        <v>19</v>
      </c>
      <c r="B24" s="134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6.5" thickTop="1" thickBot="1" x14ac:dyDescent="0.3">
      <c r="A25" s="127" t="s">
        <v>20</v>
      </c>
      <c r="B25" s="136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6.5" thickTop="1" thickBot="1" x14ac:dyDescent="0.3">
      <c r="A26" s="127" t="s">
        <v>21</v>
      </c>
      <c r="B26" s="137">
        <f>B17+B19+B20+B21+B22</f>
        <v>19553843.990000002</v>
      </c>
      <c r="C26" s="9">
        <f>SUM(C13:C25)</f>
        <v>807846.97</v>
      </c>
      <c r="D26" s="9">
        <f t="shared" ref="D26:K26" si="0">SUM(D13:D25)</f>
        <v>854602.89999999991</v>
      </c>
      <c r="E26" s="9">
        <f t="shared" si="0"/>
        <v>896844.92999999993</v>
      </c>
      <c r="F26" s="9">
        <f t="shared" si="0"/>
        <v>855385.94000000006</v>
      </c>
      <c r="G26" s="9">
        <f t="shared" si="0"/>
        <v>718947.32</v>
      </c>
      <c r="H26" s="9">
        <f t="shared" si="0"/>
        <v>966875.39</v>
      </c>
      <c r="I26" s="9">
        <f t="shared" si="0"/>
        <v>978207.45</v>
      </c>
      <c r="J26" s="9">
        <f t="shared" si="0"/>
        <v>782373.40000000014</v>
      </c>
      <c r="K26" s="9">
        <f t="shared" si="0"/>
        <v>0</v>
      </c>
      <c r="L26" s="9">
        <f>SUM(L13:L25)</f>
        <v>0</v>
      </c>
      <c r="M26" s="9">
        <f>SUM(M12:M25)</f>
        <v>0</v>
      </c>
      <c r="N26" s="9">
        <f>SUM(N12:N25)</f>
        <v>0</v>
      </c>
      <c r="O26" s="9">
        <f>SUM(O12:O25)</f>
        <v>6861084.2999999998</v>
      </c>
      <c r="P26" s="9">
        <f>SUM(P12:P25)</f>
        <v>3413482.3299999996</v>
      </c>
    </row>
    <row r="27" spans="1:16" ht="15.75" thickTop="1" x14ac:dyDescent="0.25">
      <c r="B27" s="1"/>
      <c r="C27" s="1"/>
      <c r="D27" s="10"/>
      <c r="E27" s="2"/>
      <c r="F27" s="11"/>
      <c r="G27" s="2" t="s">
        <v>22</v>
      </c>
      <c r="H27" s="2"/>
      <c r="I27" s="2"/>
    </row>
    <row r="28" spans="1:16" x14ac:dyDescent="0.25">
      <c r="B28" s="142" t="s">
        <v>23</v>
      </c>
      <c r="C28" s="142"/>
      <c r="D28" s="142"/>
      <c r="E28" s="142"/>
      <c r="F28" s="1" t="s">
        <v>24</v>
      </c>
      <c r="G28" s="2"/>
      <c r="H28" s="11"/>
      <c r="I28" s="2"/>
      <c r="J28" s="12"/>
    </row>
    <row r="29" spans="1:16" x14ac:dyDescent="0.25">
      <c r="B29" s="13" t="s">
        <v>25</v>
      </c>
      <c r="C29" s="13"/>
      <c r="D29" s="13"/>
      <c r="E29" s="14"/>
      <c r="F29" s="15"/>
      <c r="G29" s="15"/>
      <c r="H29" s="15"/>
      <c r="I29" s="15"/>
    </row>
    <row r="30" spans="1:16" x14ac:dyDescent="0.25">
      <c r="B30" s="13" t="s">
        <v>26</v>
      </c>
      <c r="C30" s="13"/>
      <c r="D30" s="16">
        <f>J19</f>
        <v>42563.040000000001</v>
      </c>
      <c r="F30" s="15" t="s">
        <v>27</v>
      </c>
      <c r="J30" s="17">
        <f>+D39</f>
        <v>12884477.01</v>
      </c>
    </row>
    <row r="31" spans="1:16" x14ac:dyDescent="0.25">
      <c r="B31" s="13" t="s">
        <v>28</v>
      </c>
      <c r="C31" s="13"/>
      <c r="D31" s="16">
        <f>J17</f>
        <v>685877.55</v>
      </c>
      <c r="F31" s="15" t="s">
        <v>29</v>
      </c>
      <c r="J31" s="18">
        <v>686563.3</v>
      </c>
    </row>
    <row r="32" spans="1:16" x14ac:dyDescent="0.25">
      <c r="B32" s="13" t="s">
        <v>30</v>
      </c>
      <c r="C32" s="13"/>
      <c r="D32" s="19">
        <f>J20</f>
        <v>53932.81</v>
      </c>
      <c r="F32" s="15"/>
      <c r="J32" s="17">
        <f>+J30-J31</f>
        <v>12197913.709999999</v>
      </c>
    </row>
    <row r="33" spans="1:14" x14ac:dyDescent="0.25">
      <c r="B33" s="13" t="s">
        <v>27</v>
      </c>
      <c r="C33" s="13"/>
      <c r="D33" s="16">
        <f>SUM(D30:D32)</f>
        <v>782373.40000000014</v>
      </c>
      <c r="F33" s="15" t="s">
        <v>31</v>
      </c>
      <c r="J33" s="18">
        <v>0</v>
      </c>
    </row>
    <row r="34" spans="1:14" x14ac:dyDescent="0.25">
      <c r="B34" s="20" t="s">
        <v>225</v>
      </c>
      <c r="C34" s="15"/>
      <c r="D34" s="19">
        <v>12101192.77</v>
      </c>
      <c r="F34" s="3"/>
      <c r="J34" s="17">
        <f>+J32+J33</f>
        <v>12197913.709999999</v>
      </c>
      <c r="L34" s="12"/>
      <c r="M34" s="12"/>
      <c r="N34" s="12"/>
    </row>
    <row r="35" spans="1:14" x14ac:dyDescent="0.25">
      <c r="B35" s="15" t="s">
        <v>32</v>
      </c>
      <c r="C35" s="15"/>
      <c r="D35" s="16">
        <f>D33+D34</f>
        <v>12883566.17</v>
      </c>
      <c r="F35" s="15" t="s">
        <v>33</v>
      </c>
      <c r="J35" s="18">
        <v>0</v>
      </c>
    </row>
    <row r="36" spans="1:14" ht="15.75" thickBot="1" x14ac:dyDescent="0.3">
      <c r="B36" s="21" t="s">
        <v>34</v>
      </c>
      <c r="C36" s="21"/>
      <c r="D36" s="18">
        <v>0</v>
      </c>
      <c r="F36" s="3" t="s">
        <v>35</v>
      </c>
      <c r="J36" s="22">
        <f>+J34-J35</f>
        <v>12197913.709999999</v>
      </c>
    </row>
    <row r="37" spans="1:14" ht="15.75" thickTop="1" x14ac:dyDescent="0.25">
      <c r="B37" s="15" t="s">
        <v>32</v>
      </c>
      <c r="C37" s="15"/>
      <c r="D37" s="16">
        <f>D35-D36</f>
        <v>12883566.17</v>
      </c>
    </row>
    <row r="38" spans="1:14" x14ac:dyDescent="0.25">
      <c r="B38" s="21" t="s">
        <v>36</v>
      </c>
      <c r="C38" s="21"/>
      <c r="D38" s="18">
        <v>910.84</v>
      </c>
    </row>
    <row r="39" spans="1:14" ht="15.75" thickBot="1" x14ac:dyDescent="0.3">
      <c r="B39" s="23" t="s">
        <v>213</v>
      </c>
      <c r="C39" s="23"/>
      <c r="D39" s="24">
        <f>+D37+D38</f>
        <v>12884477.01</v>
      </c>
      <c r="J39" s="25"/>
      <c r="K39" s="25"/>
    </row>
    <row r="40" spans="1:14" ht="15.75" thickTop="1" x14ac:dyDescent="0.25">
      <c r="B40" s="21"/>
      <c r="C40" s="21"/>
      <c r="D40" s="21"/>
      <c r="J40" s="25"/>
      <c r="L40" s="12"/>
      <c r="M40" s="12"/>
      <c r="N40" s="12"/>
    </row>
    <row r="41" spans="1:14" x14ac:dyDescent="0.25">
      <c r="B41" s="15"/>
      <c r="D41" s="15"/>
      <c r="E41" s="15"/>
      <c r="J41" s="12"/>
    </row>
    <row r="42" spans="1:14" x14ac:dyDescent="0.25">
      <c r="A42" s="138"/>
      <c r="B42" s="138"/>
      <c r="E42" s="26"/>
    </row>
    <row r="43" spans="1:14" x14ac:dyDescent="0.25">
      <c r="A43" s="138"/>
      <c r="B43" s="138"/>
      <c r="E43" s="26"/>
    </row>
    <row r="44" spans="1:14" x14ac:dyDescent="0.25">
      <c r="C44" s="15"/>
      <c r="G44" s="27"/>
      <c r="H44" s="27"/>
    </row>
    <row r="45" spans="1:14" x14ac:dyDescent="0.25">
      <c r="C45" s="3"/>
      <c r="G45" s="3"/>
      <c r="H45" s="3"/>
    </row>
    <row r="46" spans="1:14" x14ac:dyDescent="0.25">
      <c r="F46" s="3"/>
      <c r="G46" s="3" t="s">
        <v>37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B28:E28"/>
  </mergeCells>
  <pageMargins left="0.70866141732283472" right="0.70866141732283472" top="0.74803149606299213" bottom="0.74803149606299213" header="0.31496062992125984" footer="0.31496062992125984"/>
  <pageSetup scale="5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225B-A7E6-4D27-8141-590BF0A89116}">
  <dimension ref="B3:AF160"/>
  <sheetViews>
    <sheetView tabSelected="1" view="pageBreakPreview" topLeftCell="G1" zoomScale="60" zoomScaleNormal="100" workbookViewId="0">
      <selection activeCell="M67" sqref="M67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7" max="7" width="68.42578125" customWidth="1"/>
    <col min="8" max="8" width="22.7109375" customWidth="1"/>
    <col min="9" max="9" width="20.85546875" bestFit="1" customWidth="1"/>
    <col min="10" max="10" width="16.85546875" customWidth="1"/>
    <col min="11" max="11" width="16" customWidth="1"/>
    <col min="12" max="12" width="20.5703125" customWidth="1"/>
    <col min="13" max="13" width="14.42578125" bestFit="1" customWidth="1"/>
    <col min="14" max="15" width="15.28515625" customWidth="1"/>
    <col min="16" max="19" width="15.7109375" customWidth="1"/>
    <col min="20" max="22" width="16.42578125" customWidth="1"/>
    <col min="23" max="23" width="15.7109375" customWidth="1"/>
    <col min="24" max="24" width="17.85546875" customWidth="1"/>
    <col min="25" max="25" width="15.85546875" bestFit="1" customWidth="1"/>
    <col min="26" max="27" width="16.5703125" bestFit="1" customWidth="1"/>
    <col min="29" max="29" width="15" bestFit="1" customWidth="1"/>
  </cols>
  <sheetData>
    <row r="3" spans="6:32" x14ac:dyDescent="0.25">
      <c r="H3" s="28"/>
      <c r="I3" s="140" t="s">
        <v>38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29"/>
      <c r="W3" s="29"/>
      <c r="X3" s="29"/>
      <c r="Y3" s="29"/>
      <c r="Z3" s="29"/>
      <c r="AA3" s="29"/>
      <c r="AB3" s="29"/>
    </row>
    <row r="4" spans="6:32" ht="15.75" x14ac:dyDescent="0.25">
      <c r="F4" s="30"/>
      <c r="G4" s="30"/>
      <c r="H4" s="28"/>
      <c r="I4" s="141" t="s">
        <v>39</v>
      </c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1"/>
      <c r="W4" s="31"/>
      <c r="X4" s="31"/>
      <c r="Y4" s="31"/>
      <c r="Z4" s="31"/>
      <c r="AA4" s="31"/>
      <c r="AB4" s="31"/>
      <c r="AC4" s="30"/>
      <c r="AD4" s="30"/>
      <c r="AE4" s="30"/>
      <c r="AF4" s="30"/>
    </row>
    <row r="5" spans="6:32" ht="15.75" x14ac:dyDescent="0.25">
      <c r="F5" s="30"/>
      <c r="G5" s="30"/>
      <c r="H5" s="28"/>
      <c r="I5" s="140" t="s">
        <v>40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29"/>
      <c r="W5" s="29"/>
      <c r="X5" s="29"/>
      <c r="Y5" s="29"/>
      <c r="Z5" s="29"/>
      <c r="AA5" s="29"/>
      <c r="AB5" s="29"/>
      <c r="AC5" s="30"/>
      <c r="AD5" s="30"/>
      <c r="AE5" s="30"/>
      <c r="AF5" s="30"/>
    </row>
    <row r="6" spans="6:32" ht="15.75" x14ac:dyDescent="0.25">
      <c r="F6" s="32"/>
      <c r="G6" s="32"/>
      <c r="H6" s="28"/>
      <c r="I6" s="141" t="s">
        <v>227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31"/>
      <c r="W6" s="31"/>
      <c r="X6" s="31"/>
      <c r="Y6" s="31"/>
      <c r="Z6" s="31"/>
      <c r="AA6" s="31"/>
      <c r="AB6" s="31"/>
      <c r="AC6" s="32"/>
      <c r="AD6" s="32"/>
      <c r="AE6" s="30"/>
      <c r="AF6" s="30"/>
    </row>
    <row r="7" spans="6:32" x14ac:dyDescent="0.25">
      <c r="N7" s="139" t="s">
        <v>0</v>
      </c>
      <c r="O7" s="139"/>
    </row>
    <row r="8" spans="6:32" ht="16.5" thickBot="1" x14ac:dyDescent="0.3"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0"/>
      <c r="X8" s="30"/>
    </row>
    <row r="9" spans="6:32" ht="16.5" thickBot="1" x14ac:dyDescent="0.3">
      <c r="F9" s="30"/>
      <c r="G9" s="30"/>
      <c r="H9" s="30"/>
      <c r="I9" s="30"/>
      <c r="J9" s="144" t="s">
        <v>41</v>
      </c>
      <c r="K9" s="145"/>
      <c r="L9" s="36"/>
      <c r="M9" s="30"/>
      <c r="N9" s="30"/>
      <c r="O9" s="30"/>
      <c r="U9" s="147" t="s">
        <v>42</v>
      </c>
      <c r="V9" s="148"/>
      <c r="W9" s="149"/>
      <c r="X9" s="30"/>
      <c r="Y9" s="30"/>
    </row>
    <row r="10" spans="6:32" ht="66" customHeight="1" thickBot="1" x14ac:dyDescent="0.3">
      <c r="F10" s="113" t="s">
        <v>43</v>
      </c>
      <c r="G10" s="114" t="s">
        <v>44</v>
      </c>
      <c r="H10" s="114" t="s">
        <v>45</v>
      </c>
      <c r="I10" s="115" t="s">
        <v>46</v>
      </c>
      <c r="J10" s="114" t="s">
        <v>47</v>
      </c>
      <c r="K10" s="114" t="s">
        <v>48</v>
      </c>
      <c r="L10" s="116" t="s">
        <v>49</v>
      </c>
      <c r="M10" s="117" t="s">
        <v>50</v>
      </c>
      <c r="N10" s="118" t="s">
        <v>214</v>
      </c>
      <c r="O10" s="118" t="s">
        <v>215</v>
      </c>
      <c r="P10" s="118" t="s">
        <v>5</v>
      </c>
      <c r="Q10" s="118" t="s">
        <v>216</v>
      </c>
      <c r="R10" s="118" t="s">
        <v>217</v>
      </c>
      <c r="S10" s="118" t="s">
        <v>8</v>
      </c>
      <c r="T10" s="118" t="s">
        <v>228</v>
      </c>
      <c r="U10" s="119">
        <v>0.2</v>
      </c>
      <c r="V10" s="120">
        <v>0.3</v>
      </c>
      <c r="W10" s="121">
        <v>0.5</v>
      </c>
      <c r="X10" s="122" t="s">
        <v>206</v>
      </c>
      <c r="Y10" s="123" t="s">
        <v>205</v>
      </c>
      <c r="Z10" s="117" t="s">
        <v>51</v>
      </c>
      <c r="AA10" s="124" t="s">
        <v>52</v>
      </c>
    </row>
    <row r="11" spans="6:32" ht="15.75" x14ac:dyDescent="0.25">
      <c r="F11" s="110"/>
      <c r="G11" s="111" t="s">
        <v>53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112"/>
    </row>
    <row r="12" spans="6:32" ht="15.75" x14ac:dyDescent="0.25">
      <c r="F12" s="38"/>
      <c r="G12" s="39" t="s">
        <v>54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1"/>
      <c r="AB12" s="12"/>
    </row>
    <row r="13" spans="6:32" ht="15.75" x14ac:dyDescent="0.25">
      <c r="F13" s="42" t="s">
        <v>55</v>
      </c>
      <c r="G13" s="43" t="s">
        <v>56</v>
      </c>
      <c r="H13" s="40">
        <v>679882.55</v>
      </c>
      <c r="I13" s="40"/>
      <c r="J13" s="40"/>
      <c r="K13" s="40"/>
      <c r="L13" s="40">
        <f>H13+I13+J13-K13</f>
        <v>679882.55</v>
      </c>
      <c r="M13" s="40">
        <v>57500</v>
      </c>
      <c r="N13" s="40">
        <v>57500</v>
      </c>
      <c r="O13" s="40">
        <v>57500</v>
      </c>
      <c r="P13" s="40">
        <v>57500</v>
      </c>
      <c r="Q13" s="40">
        <v>57500</v>
      </c>
      <c r="R13" s="40">
        <v>57500</v>
      </c>
      <c r="S13" s="40">
        <v>57500</v>
      </c>
      <c r="T13" s="40">
        <v>67500</v>
      </c>
      <c r="U13" s="40">
        <f>47500+47500+47500+47500+47500+47500+47500+47500</f>
        <v>380000</v>
      </c>
      <c r="V13" s="40"/>
      <c r="W13" s="40">
        <f>10000+10000+10000+10000+10000+10000+10000+20000</f>
        <v>90000</v>
      </c>
      <c r="X13" s="40"/>
      <c r="Y13" s="40"/>
      <c r="Z13" s="40">
        <f>SUM(M13:T13)</f>
        <v>470000</v>
      </c>
      <c r="AA13" s="41">
        <f>+L13-Z13</f>
        <v>209882.55000000005</v>
      </c>
      <c r="AB13" s="12"/>
    </row>
    <row r="14" spans="6:32" ht="15.75" x14ac:dyDescent="0.25">
      <c r="F14" s="42" t="s">
        <v>57</v>
      </c>
      <c r="G14" s="43" t="s">
        <v>58</v>
      </c>
      <c r="H14" s="40">
        <v>1700</v>
      </c>
      <c r="I14" s="40"/>
      <c r="J14" s="40">
        <v>5000</v>
      </c>
      <c r="K14" s="40"/>
      <c r="L14" s="40">
        <f>H14+I14+J14-K14</f>
        <v>6700</v>
      </c>
      <c r="M14" s="40">
        <v>185</v>
      </c>
      <c r="N14" s="40">
        <v>185</v>
      </c>
      <c r="O14" s="40">
        <v>185</v>
      </c>
      <c r="P14" s="40">
        <v>185</v>
      </c>
      <c r="Q14" s="40">
        <v>185</v>
      </c>
      <c r="R14" s="40">
        <v>185</v>
      </c>
      <c r="S14" s="40">
        <v>185</v>
      </c>
      <c r="T14" s="40">
        <v>185</v>
      </c>
      <c r="U14" s="40">
        <f>185+185+185+185+185+185+185+185</f>
        <v>1480</v>
      </c>
      <c r="V14" s="40"/>
      <c r="W14" s="40"/>
      <c r="X14" s="40"/>
      <c r="Y14" s="40"/>
      <c r="Z14" s="40">
        <f t="shared" ref="Z14:Z61" si="0">SUM(M14:T14)</f>
        <v>1480</v>
      </c>
      <c r="AA14" s="41">
        <f>+L14-Z14</f>
        <v>5220</v>
      </c>
      <c r="AB14" s="12"/>
    </row>
    <row r="15" spans="6:32" ht="15.75" x14ac:dyDescent="0.25">
      <c r="F15" s="42" t="s">
        <v>59</v>
      </c>
      <c r="G15" s="43" t="s">
        <v>60</v>
      </c>
      <c r="H15" s="40">
        <v>4500</v>
      </c>
      <c r="I15" s="40"/>
      <c r="J15" s="40"/>
      <c r="K15" s="40"/>
      <c r="L15" s="40">
        <f t="shared" ref="L15:L61" si="1">H15+I15+J15-K15</f>
        <v>4500</v>
      </c>
      <c r="M15" s="40">
        <v>375</v>
      </c>
      <c r="N15" s="40">
        <v>375</v>
      </c>
      <c r="O15" s="40">
        <v>375</v>
      </c>
      <c r="P15" s="40">
        <v>375</v>
      </c>
      <c r="Q15" s="40">
        <v>375</v>
      </c>
      <c r="R15" s="40">
        <v>375</v>
      </c>
      <c r="S15" s="40">
        <v>375</v>
      </c>
      <c r="T15" s="40">
        <v>375</v>
      </c>
      <c r="U15" s="40">
        <f>375+375+375+375+375+375+375+375</f>
        <v>3000</v>
      </c>
      <c r="V15" s="40"/>
      <c r="W15" s="40"/>
      <c r="X15" s="40"/>
      <c r="Y15" s="40"/>
      <c r="Z15" s="40">
        <f t="shared" si="0"/>
        <v>3000</v>
      </c>
      <c r="AA15" s="41">
        <f>+L15-Z15</f>
        <v>1500</v>
      </c>
      <c r="AB15" s="12"/>
    </row>
    <row r="16" spans="6:32" ht="15.75" x14ac:dyDescent="0.25">
      <c r="F16" s="42" t="s">
        <v>61</v>
      </c>
      <c r="G16" s="44" t="s">
        <v>62</v>
      </c>
      <c r="H16" s="40">
        <v>14500</v>
      </c>
      <c r="I16" s="40"/>
      <c r="J16" s="40">
        <v>10000</v>
      </c>
      <c r="K16" s="40"/>
      <c r="L16" s="40">
        <f t="shared" si="1"/>
        <v>24500</v>
      </c>
      <c r="M16" s="40">
        <v>1750</v>
      </c>
      <c r="N16" s="40">
        <v>1750</v>
      </c>
      <c r="O16" s="40">
        <v>1750</v>
      </c>
      <c r="P16" s="40">
        <v>1750</v>
      </c>
      <c r="Q16" s="40">
        <v>1750</v>
      </c>
      <c r="R16" s="40">
        <v>1750</v>
      </c>
      <c r="S16" s="40">
        <v>1750</v>
      </c>
      <c r="T16" s="40">
        <v>2000</v>
      </c>
      <c r="U16" s="40">
        <f>1500+1500+1500+1500+1500+1500+1500+1500</f>
        <v>12000</v>
      </c>
      <c r="V16" s="40"/>
      <c r="W16" s="40">
        <f>250+250+250+250+250+250+250+500</f>
        <v>2250</v>
      </c>
      <c r="X16" s="40"/>
      <c r="Y16" s="40"/>
      <c r="Z16" s="40">
        <f t="shared" si="0"/>
        <v>14250</v>
      </c>
      <c r="AA16" s="41">
        <f>+L16-Z16</f>
        <v>10250</v>
      </c>
      <c r="AB16" s="12"/>
    </row>
    <row r="17" spans="6:28" ht="15.75" x14ac:dyDescent="0.25">
      <c r="F17" s="42"/>
      <c r="G17" s="39" t="s">
        <v>63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50"/>
      <c r="V17" s="50"/>
      <c r="W17" s="50"/>
      <c r="X17" s="50"/>
      <c r="Y17" s="50"/>
      <c r="Z17" s="40"/>
      <c r="AA17" s="41"/>
      <c r="AB17" s="12"/>
    </row>
    <row r="18" spans="6:28" ht="15.75" x14ac:dyDescent="0.25">
      <c r="F18" s="42" t="s">
        <v>207</v>
      </c>
      <c r="G18" s="43" t="s">
        <v>208</v>
      </c>
      <c r="H18" s="40"/>
      <c r="I18" s="40"/>
      <c r="J18" s="40">
        <v>10000</v>
      </c>
      <c r="K18" s="40"/>
      <c r="L18" s="40">
        <v>10000</v>
      </c>
      <c r="M18" s="40">
        <v>0</v>
      </c>
      <c r="N18" s="40">
        <v>0</v>
      </c>
      <c r="O18" s="40">
        <v>0</v>
      </c>
      <c r="P18" s="40">
        <v>0</v>
      </c>
      <c r="Q18" s="40">
        <v>3000</v>
      </c>
      <c r="R18" s="40">
        <v>0</v>
      </c>
      <c r="S18" s="40">
        <v>0</v>
      </c>
      <c r="T18" s="40">
        <v>0</v>
      </c>
      <c r="U18" s="50"/>
      <c r="V18" s="50">
        <v>3000</v>
      </c>
      <c r="W18" s="50"/>
      <c r="X18" s="50"/>
      <c r="Y18" s="50"/>
      <c r="Z18" s="40">
        <f t="shared" si="0"/>
        <v>3000</v>
      </c>
      <c r="AA18" s="41">
        <f t="shared" ref="AA18:AA27" si="2">+L18-Z18</f>
        <v>7000</v>
      </c>
      <c r="AB18" s="12"/>
    </row>
    <row r="19" spans="6:28" ht="15.75" x14ac:dyDescent="0.25">
      <c r="F19" s="42" t="s">
        <v>64</v>
      </c>
      <c r="G19" s="43" t="s">
        <v>65</v>
      </c>
      <c r="H19" s="40">
        <v>818462.96</v>
      </c>
      <c r="I19" s="40">
        <v>85126.080000000002</v>
      </c>
      <c r="J19" s="40"/>
      <c r="K19" s="40"/>
      <c r="L19" s="40">
        <f t="shared" si="1"/>
        <v>903589.03999999992</v>
      </c>
      <c r="M19" s="40">
        <v>48800</v>
      </c>
      <c r="N19" s="40">
        <v>133926.07999999999</v>
      </c>
      <c r="O19" s="40">
        <v>40300</v>
      </c>
      <c r="P19" s="40">
        <v>61933.93</v>
      </c>
      <c r="Q19" s="40">
        <v>57800</v>
      </c>
      <c r="R19" s="40">
        <v>47300</v>
      </c>
      <c r="S19" s="40">
        <v>59300</v>
      </c>
      <c r="T19" s="40">
        <v>53300</v>
      </c>
      <c r="U19" s="50">
        <f>2500+2500+2500+2500+2500+2500+2500+2500</f>
        <v>20000</v>
      </c>
      <c r="V19" s="50">
        <f>5720+90846.08+11440-42563.04-42563.04+5720+5720+5720+5720</f>
        <v>45760</v>
      </c>
      <c r="W19" s="50">
        <f>40580+40580+37800+47993.93+49580+39080+51080+45080</f>
        <v>351773.93</v>
      </c>
      <c r="X19" s="50">
        <f>42563.04+42563.04</f>
        <v>85126.080000000002</v>
      </c>
      <c r="Y19" s="50"/>
      <c r="Z19" s="40">
        <f t="shared" si="0"/>
        <v>502660.01</v>
      </c>
      <c r="AA19" s="45">
        <f t="shared" si="2"/>
        <v>400929.02999999991</v>
      </c>
      <c r="AB19" s="12"/>
    </row>
    <row r="20" spans="6:28" s="30" customFormat="1" ht="15.75" x14ac:dyDescent="0.25">
      <c r="F20" s="42" t="s">
        <v>66</v>
      </c>
      <c r="G20" s="43" t="s">
        <v>67</v>
      </c>
      <c r="H20" s="40">
        <v>75130.789999999994</v>
      </c>
      <c r="I20" s="40"/>
      <c r="J20" s="40"/>
      <c r="K20" s="43"/>
      <c r="L20" s="40">
        <f t="shared" si="1"/>
        <v>75130.789999999994</v>
      </c>
      <c r="M20" s="46">
        <v>6135.25</v>
      </c>
      <c r="N20" s="46">
        <v>6135.25</v>
      </c>
      <c r="O20" s="46">
        <v>6135.25</v>
      </c>
      <c r="P20" s="46">
        <v>6135.25</v>
      </c>
      <c r="Q20" s="46">
        <v>6135.25</v>
      </c>
      <c r="R20" s="46">
        <v>6135.25</v>
      </c>
      <c r="S20" s="46">
        <v>6135.25</v>
      </c>
      <c r="T20" s="46">
        <v>6135.25</v>
      </c>
      <c r="U20" s="103">
        <f>5068.25+5068.25+5068.25+5068.25+5068.25+5068.25+5068.25+5068.25</f>
        <v>40546</v>
      </c>
      <c r="V20" s="103"/>
      <c r="W20" s="104">
        <f>1067+1067+1067+1067+1067+1067+1067+1067</f>
        <v>8536</v>
      </c>
      <c r="X20" s="104"/>
      <c r="Y20" s="105"/>
      <c r="Z20" s="40">
        <f t="shared" si="0"/>
        <v>49082</v>
      </c>
      <c r="AA20" s="45">
        <f t="shared" si="2"/>
        <v>26048.789999999994</v>
      </c>
      <c r="AB20" s="12"/>
    </row>
    <row r="21" spans="6:28" s="30" customFormat="1" ht="15.75" x14ac:dyDescent="0.25">
      <c r="F21" s="42" t="s">
        <v>68</v>
      </c>
      <c r="G21" s="43" t="s">
        <v>69</v>
      </c>
      <c r="H21" s="40">
        <v>1000</v>
      </c>
      <c r="I21" s="40"/>
      <c r="J21" s="40"/>
      <c r="K21" s="43"/>
      <c r="L21" s="40">
        <f t="shared" si="1"/>
        <v>1000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105"/>
      <c r="V21" s="104"/>
      <c r="W21" s="105"/>
      <c r="X21" s="105"/>
      <c r="Y21" s="105"/>
      <c r="Z21" s="40">
        <f t="shared" si="0"/>
        <v>0</v>
      </c>
      <c r="AA21" s="45">
        <f t="shared" si="2"/>
        <v>1000</v>
      </c>
      <c r="AB21" s="12"/>
    </row>
    <row r="22" spans="6:28" ht="15.75" x14ac:dyDescent="0.25">
      <c r="F22" s="42" t="s">
        <v>70</v>
      </c>
      <c r="G22" s="43" t="s">
        <v>71</v>
      </c>
      <c r="H22" s="40">
        <v>241140</v>
      </c>
      <c r="I22" s="40"/>
      <c r="J22" s="40"/>
      <c r="K22" s="40"/>
      <c r="L22" s="40">
        <f t="shared" si="1"/>
        <v>241140</v>
      </c>
      <c r="M22" s="40">
        <v>0</v>
      </c>
      <c r="N22" s="40">
        <v>25200</v>
      </c>
      <c r="O22" s="40">
        <v>18000</v>
      </c>
      <c r="P22" s="40">
        <v>18000</v>
      </c>
      <c r="Q22" s="40">
        <v>18000</v>
      </c>
      <c r="R22" s="40">
        <v>14400</v>
      </c>
      <c r="S22" s="40">
        <v>20700</v>
      </c>
      <c r="T22" s="40">
        <v>27000</v>
      </c>
      <c r="U22" s="50"/>
      <c r="V22" s="50"/>
      <c r="W22" s="50"/>
      <c r="X22" s="50"/>
      <c r="Y22" s="50">
        <f>N22+O22+P22+Q22+R22+S22+T22</f>
        <v>141300</v>
      </c>
      <c r="Z22" s="40">
        <f t="shared" si="0"/>
        <v>141300</v>
      </c>
      <c r="AA22" s="41">
        <f t="shared" si="2"/>
        <v>99840</v>
      </c>
      <c r="AB22" s="12"/>
    </row>
    <row r="23" spans="6:28" ht="15.75" x14ac:dyDescent="0.25">
      <c r="F23" s="42" t="s">
        <v>72</v>
      </c>
      <c r="G23" s="43" t="s">
        <v>73</v>
      </c>
      <c r="H23" s="40">
        <v>147000</v>
      </c>
      <c r="I23" s="40"/>
      <c r="J23" s="40"/>
      <c r="K23" s="40"/>
      <c r="L23" s="40">
        <f t="shared" si="1"/>
        <v>147000</v>
      </c>
      <c r="M23" s="40">
        <v>0</v>
      </c>
      <c r="N23" s="40">
        <v>15000</v>
      </c>
      <c r="O23" s="40">
        <v>15000</v>
      </c>
      <c r="P23" s="40">
        <v>15000</v>
      </c>
      <c r="Q23" s="40">
        <v>15000</v>
      </c>
      <c r="R23" s="40">
        <v>15000</v>
      </c>
      <c r="S23" s="40">
        <v>15000</v>
      </c>
      <c r="T23" s="40">
        <v>15000</v>
      </c>
      <c r="U23" s="50"/>
      <c r="V23" s="50"/>
      <c r="W23" s="50"/>
      <c r="X23" s="50"/>
      <c r="Y23" s="50">
        <f>N23+O23+P23+Q23+R23+S23+T23</f>
        <v>105000</v>
      </c>
      <c r="Z23" s="40">
        <f t="shared" si="0"/>
        <v>105000</v>
      </c>
      <c r="AA23" s="41">
        <f t="shared" si="2"/>
        <v>42000</v>
      </c>
      <c r="AB23" s="12"/>
    </row>
    <row r="24" spans="6:28" ht="15.75" x14ac:dyDescent="0.25">
      <c r="F24" s="42" t="s">
        <v>74</v>
      </c>
      <c r="G24" s="43" t="s">
        <v>75</v>
      </c>
      <c r="H24" s="40">
        <v>54000</v>
      </c>
      <c r="I24" s="40"/>
      <c r="J24" s="40"/>
      <c r="K24" s="40"/>
      <c r="L24" s="40">
        <f t="shared" si="1"/>
        <v>54000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50"/>
      <c r="V24" s="50"/>
      <c r="W24" s="50"/>
      <c r="X24" s="50"/>
      <c r="Y24" s="50"/>
      <c r="Z24" s="40">
        <f t="shared" si="0"/>
        <v>0</v>
      </c>
      <c r="AA24" s="41">
        <f t="shared" si="2"/>
        <v>54000</v>
      </c>
      <c r="AB24" s="12"/>
    </row>
    <row r="25" spans="6:28" ht="15.75" x14ac:dyDescent="0.25">
      <c r="F25" s="42" t="s">
        <v>76</v>
      </c>
      <c r="G25" s="43" t="s">
        <v>77</v>
      </c>
      <c r="H25" s="40">
        <v>52000</v>
      </c>
      <c r="I25" s="40"/>
      <c r="J25" s="40">
        <v>10000</v>
      </c>
      <c r="K25" s="40"/>
      <c r="L25" s="40">
        <f t="shared" si="1"/>
        <v>62000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57500</v>
      </c>
      <c r="T25" s="40">
        <v>0</v>
      </c>
      <c r="U25" s="50">
        <v>47500</v>
      </c>
      <c r="V25" s="50"/>
      <c r="W25" s="50">
        <v>10000</v>
      </c>
      <c r="X25" s="50"/>
      <c r="Y25" s="50"/>
      <c r="Z25" s="40">
        <f t="shared" si="0"/>
        <v>57500</v>
      </c>
      <c r="AA25" s="41">
        <f t="shared" si="2"/>
        <v>4500</v>
      </c>
      <c r="AB25" s="12"/>
    </row>
    <row r="26" spans="6:28" ht="15.75" x14ac:dyDescent="0.25">
      <c r="F26" s="42" t="s">
        <v>78</v>
      </c>
      <c r="G26" s="43" t="s">
        <v>79</v>
      </c>
      <c r="H26" s="40">
        <v>3500</v>
      </c>
      <c r="I26" s="40"/>
      <c r="J26" s="40"/>
      <c r="K26" s="40"/>
      <c r="L26" s="40">
        <f t="shared" si="1"/>
        <v>3500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50"/>
      <c r="V26" s="50"/>
      <c r="W26" s="50"/>
      <c r="X26" s="50"/>
      <c r="Y26" s="50"/>
      <c r="Z26" s="40">
        <f t="shared" si="0"/>
        <v>0</v>
      </c>
      <c r="AA26" s="41">
        <f t="shared" si="2"/>
        <v>3500</v>
      </c>
      <c r="AB26" s="12"/>
    </row>
    <row r="27" spans="6:28" ht="15.75" x14ac:dyDescent="0.25">
      <c r="F27" s="42" t="s">
        <v>80</v>
      </c>
      <c r="G27" s="43" t="s">
        <v>81</v>
      </c>
      <c r="H27" s="40">
        <v>2500</v>
      </c>
      <c r="I27" s="40"/>
      <c r="J27" s="40">
        <v>25000</v>
      </c>
      <c r="K27" s="40"/>
      <c r="L27" s="40">
        <f t="shared" si="1"/>
        <v>27500</v>
      </c>
      <c r="M27" s="40">
        <v>0</v>
      </c>
      <c r="N27" s="40">
        <v>0</v>
      </c>
      <c r="O27" s="40">
        <v>0</v>
      </c>
      <c r="P27" s="40">
        <v>15500</v>
      </c>
      <c r="Q27" s="40">
        <v>0</v>
      </c>
      <c r="R27" s="40">
        <v>0</v>
      </c>
      <c r="S27" s="40">
        <v>0</v>
      </c>
      <c r="T27" s="40">
        <v>0</v>
      </c>
      <c r="U27" s="50"/>
      <c r="V27" s="50"/>
      <c r="W27" s="50"/>
      <c r="X27" s="50"/>
      <c r="Y27" s="50">
        <v>15500</v>
      </c>
      <c r="Z27" s="40">
        <f t="shared" si="0"/>
        <v>15500</v>
      </c>
      <c r="AA27" s="41">
        <f t="shared" si="2"/>
        <v>12000</v>
      </c>
      <c r="AB27" s="12"/>
    </row>
    <row r="28" spans="6:28" ht="15.75" x14ac:dyDescent="0.25">
      <c r="F28" s="42"/>
      <c r="G28" s="39" t="s">
        <v>82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1"/>
      <c r="AB28" s="12"/>
    </row>
    <row r="29" spans="6:28" ht="15.75" x14ac:dyDescent="0.25">
      <c r="F29" s="42"/>
      <c r="G29" s="39" t="s">
        <v>83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>
        <f t="shared" si="0"/>
        <v>0</v>
      </c>
      <c r="AA29" s="41"/>
      <c r="AB29" s="12"/>
    </row>
    <row r="30" spans="6:28" ht="15.75" x14ac:dyDescent="0.25">
      <c r="F30" s="42">
        <v>111</v>
      </c>
      <c r="G30" s="43" t="s">
        <v>84</v>
      </c>
      <c r="H30" s="40">
        <v>1600</v>
      </c>
      <c r="I30" s="40"/>
      <c r="J30" s="40"/>
      <c r="K30" s="40"/>
      <c r="L30" s="40">
        <f>H30+I30+J30-K30</f>
        <v>1600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/>
      <c r="V30" s="40"/>
      <c r="W30" s="40"/>
      <c r="X30" s="40"/>
      <c r="Y30" s="40"/>
      <c r="Z30" s="40">
        <f t="shared" si="0"/>
        <v>0</v>
      </c>
      <c r="AA30" s="41">
        <f>+L30-Z30</f>
        <v>1600</v>
      </c>
      <c r="AB30" s="12"/>
    </row>
    <row r="31" spans="6:28" ht="15.75" x14ac:dyDescent="0.25">
      <c r="F31" s="42" t="s">
        <v>85</v>
      </c>
      <c r="G31" s="43" t="s">
        <v>86</v>
      </c>
      <c r="H31" s="40">
        <v>54048.54</v>
      </c>
      <c r="I31" s="40"/>
      <c r="J31" s="40"/>
      <c r="K31" s="40"/>
      <c r="L31" s="40">
        <f t="shared" si="1"/>
        <v>54048.54</v>
      </c>
      <c r="M31" s="40">
        <v>4207</v>
      </c>
      <c r="N31" s="40">
        <v>3074</v>
      </c>
      <c r="O31" s="40">
        <v>4052</v>
      </c>
      <c r="P31" s="40">
        <v>5671.85</v>
      </c>
      <c r="Q31" s="40">
        <v>8778</v>
      </c>
      <c r="R31" s="40">
        <v>4225</v>
      </c>
      <c r="S31" s="40">
        <v>3975</v>
      </c>
      <c r="T31" s="40">
        <v>5517</v>
      </c>
      <c r="U31" s="40">
        <f>2307+3074+2477+2521.85+3083+2650+3975+2367</f>
        <v>22454.85</v>
      </c>
      <c r="V31" s="40">
        <v>4120</v>
      </c>
      <c r="W31" s="40">
        <f>1900+1575+3150+1575+1575+1575+1575</f>
        <v>12925</v>
      </c>
      <c r="X31" s="40"/>
      <c r="Z31" s="40">
        <f t="shared" si="0"/>
        <v>39499.85</v>
      </c>
      <c r="AA31" s="41">
        <f>+L31-Z31</f>
        <v>14548.690000000002</v>
      </c>
      <c r="AB31" s="12"/>
    </row>
    <row r="32" spans="6:28" ht="15.75" x14ac:dyDescent="0.25">
      <c r="F32" s="42">
        <v>114</v>
      </c>
      <c r="G32" s="43" t="s">
        <v>87</v>
      </c>
      <c r="H32" s="40">
        <v>1000</v>
      </c>
      <c r="I32" s="40"/>
      <c r="J32" s="40"/>
      <c r="K32" s="40"/>
      <c r="L32" s="40">
        <f t="shared" si="1"/>
        <v>1000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/>
      <c r="V32" s="40"/>
      <c r="W32" s="40"/>
      <c r="X32" s="40"/>
      <c r="Y32" s="40"/>
      <c r="Z32" s="40">
        <f t="shared" si="0"/>
        <v>0</v>
      </c>
      <c r="AA32" s="41">
        <f>+L32-Z32</f>
        <v>1000</v>
      </c>
      <c r="AB32" s="12"/>
    </row>
    <row r="33" spans="6:28" ht="15.75" x14ac:dyDescent="0.25">
      <c r="F33" s="42">
        <v>116</v>
      </c>
      <c r="G33" s="43" t="s">
        <v>88</v>
      </c>
      <c r="H33" s="40">
        <v>1600</v>
      </c>
      <c r="I33" s="40"/>
      <c r="J33" s="40"/>
      <c r="K33" s="40"/>
      <c r="L33" s="40">
        <f t="shared" si="1"/>
        <v>1600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/>
      <c r="V33" s="40"/>
      <c r="W33" s="40"/>
      <c r="X33" s="40"/>
      <c r="Y33" s="40"/>
      <c r="Z33" s="40">
        <f t="shared" si="0"/>
        <v>0</v>
      </c>
      <c r="AA33" s="41">
        <f>+L33-Z33</f>
        <v>1600</v>
      </c>
      <c r="AB33" s="12"/>
    </row>
    <row r="34" spans="6:28" ht="15.75" x14ac:dyDescent="0.25">
      <c r="F34" s="42"/>
      <c r="G34" s="39" t="s">
        <v>89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1"/>
      <c r="AB34" s="12"/>
    </row>
    <row r="35" spans="6:28" ht="15.75" x14ac:dyDescent="0.25">
      <c r="F35" s="42"/>
      <c r="G35" s="39" t="s">
        <v>90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>
        <f t="shared" si="0"/>
        <v>0</v>
      </c>
      <c r="AA35" s="41"/>
      <c r="AB35" s="12"/>
    </row>
    <row r="36" spans="6:28" ht="15.75" x14ac:dyDescent="0.25">
      <c r="F36" s="42">
        <v>121</v>
      </c>
      <c r="G36" s="43" t="s">
        <v>91</v>
      </c>
      <c r="H36" s="40">
        <v>30000</v>
      </c>
      <c r="I36" s="40"/>
      <c r="J36" s="40"/>
      <c r="K36" s="40"/>
      <c r="L36" s="40">
        <f t="shared" si="1"/>
        <v>30000</v>
      </c>
      <c r="M36" s="40">
        <v>0</v>
      </c>
      <c r="N36" s="40">
        <v>2050.1999999999998</v>
      </c>
      <c r="O36" s="40">
        <v>0</v>
      </c>
      <c r="P36" s="40">
        <v>24500</v>
      </c>
      <c r="Q36" s="40">
        <v>0</v>
      </c>
      <c r="R36" s="40">
        <v>0</v>
      </c>
      <c r="S36" s="40">
        <v>0</v>
      </c>
      <c r="T36" s="40">
        <v>0</v>
      </c>
      <c r="U36" s="40">
        <f>2050.2</f>
        <v>2050.1999999999998</v>
      </c>
      <c r="V36" s="40">
        <f>24500</f>
        <v>24500</v>
      </c>
      <c r="W36" s="40"/>
      <c r="X36" s="40"/>
      <c r="Y36" s="40"/>
      <c r="Z36" s="40">
        <f t="shared" si="0"/>
        <v>26550.2</v>
      </c>
      <c r="AA36" s="41">
        <f>+L36-Z36</f>
        <v>3449.7999999999993</v>
      </c>
      <c r="AB36" s="12"/>
    </row>
    <row r="37" spans="6:28" ht="15.75" x14ac:dyDescent="0.25">
      <c r="F37" s="42">
        <v>122</v>
      </c>
      <c r="G37" s="49" t="s">
        <v>92</v>
      </c>
      <c r="H37" s="40">
        <v>3000</v>
      </c>
      <c r="I37" s="40"/>
      <c r="J37" s="40"/>
      <c r="K37" s="40"/>
      <c r="L37" s="40">
        <f t="shared" si="1"/>
        <v>3000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/>
      <c r="V37" s="40"/>
      <c r="W37" s="40"/>
      <c r="X37" s="40"/>
      <c r="Y37" s="40"/>
      <c r="Z37" s="40">
        <f t="shared" si="0"/>
        <v>0</v>
      </c>
      <c r="AA37" s="41">
        <f>+L37-Z37</f>
        <v>3000</v>
      </c>
      <c r="AB37" s="12"/>
    </row>
    <row r="38" spans="6:28" ht="15.75" x14ac:dyDescent="0.25">
      <c r="F38" s="42"/>
      <c r="G38" s="39" t="s">
        <v>93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1"/>
      <c r="AB38" s="12"/>
    </row>
    <row r="39" spans="6:28" ht="15.75" x14ac:dyDescent="0.25">
      <c r="F39" s="42" t="s">
        <v>94</v>
      </c>
      <c r="G39" s="43" t="s">
        <v>95</v>
      </c>
      <c r="H39" s="40">
        <f>1785825.41+323599.7</f>
        <v>2109425.11</v>
      </c>
      <c r="I39" s="40"/>
      <c r="J39" s="40"/>
      <c r="K39" s="40"/>
      <c r="L39" s="40">
        <f t="shared" si="1"/>
        <v>2109425.11</v>
      </c>
      <c r="M39" s="40">
        <v>64775</v>
      </c>
      <c r="N39" s="40">
        <v>133026</v>
      </c>
      <c r="O39" s="40">
        <v>0</v>
      </c>
      <c r="P39" s="40">
        <v>0</v>
      </c>
      <c r="Q39" s="40">
        <v>101150</v>
      </c>
      <c r="R39" s="40">
        <v>132550</v>
      </c>
      <c r="S39" s="40">
        <v>13330</v>
      </c>
      <c r="T39" s="40">
        <v>358862</v>
      </c>
      <c r="U39" s="50">
        <v>76846</v>
      </c>
      <c r="V39" s="51">
        <f>25910+73605+24304+63525-27730.91-34245+223556-69030</f>
        <v>279894.08999999997</v>
      </c>
      <c r="W39" s="40">
        <f>38865+59421+69025+13330+135306</f>
        <v>315947</v>
      </c>
      <c r="X39" s="40">
        <f>27730.91+34245+69030</f>
        <v>131005.91</v>
      </c>
      <c r="Y39" s="40"/>
      <c r="Z39" s="40">
        <f t="shared" si="0"/>
        <v>803693</v>
      </c>
      <c r="AA39" s="41">
        <f>+L39-Z39</f>
        <v>1305732.1099999999</v>
      </c>
      <c r="AB39" s="12"/>
    </row>
    <row r="40" spans="6:28" ht="15.75" x14ac:dyDescent="0.25">
      <c r="F40" s="42" t="s">
        <v>96</v>
      </c>
      <c r="G40" s="43" t="s">
        <v>97</v>
      </c>
      <c r="H40" s="40">
        <v>5000</v>
      </c>
      <c r="I40" s="40"/>
      <c r="J40" s="40"/>
      <c r="K40" s="40"/>
      <c r="L40" s="40">
        <f t="shared" si="1"/>
        <v>5000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/>
      <c r="V40" s="40"/>
      <c r="W40" s="40"/>
      <c r="X40" s="40"/>
      <c r="Y40" s="40"/>
      <c r="Z40" s="40">
        <f t="shared" si="0"/>
        <v>0</v>
      </c>
      <c r="AA40" s="41">
        <f>+L40-Z40</f>
        <v>5000</v>
      </c>
      <c r="AB40" s="12"/>
    </row>
    <row r="41" spans="6:28" ht="15.75" x14ac:dyDescent="0.25">
      <c r="F41" s="42">
        <v>134</v>
      </c>
      <c r="G41" s="43" t="s">
        <v>98</v>
      </c>
      <c r="H41" s="40">
        <v>8000</v>
      </c>
      <c r="I41" s="40"/>
      <c r="J41" s="40"/>
      <c r="K41" s="40"/>
      <c r="L41" s="40">
        <f t="shared" si="1"/>
        <v>8000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/>
      <c r="V41" s="40"/>
      <c r="W41" s="40"/>
      <c r="X41" s="40"/>
      <c r="Y41" s="40"/>
      <c r="Z41" s="40">
        <f t="shared" si="0"/>
        <v>0</v>
      </c>
      <c r="AA41" s="41">
        <f>+L41-Z41</f>
        <v>8000</v>
      </c>
      <c r="AB41" s="12"/>
    </row>
    <row r="42" spans="6:28" ht="15.75" x14ac:dyDescent="0.25">
      <c r="F42" s="42">
        <v>135</v>
      </c>
      <c r="G42" s="43" t="s">
        <v>99</v>
      </c>
      <c r="H42" s="40">
        <v>5000</v>
      </c>
      <c r="I42" s="40"/>
      <c r="J42" s="40"/>
      <c r="K42" s="40"/>
      <c r="L42" s="40">
        <f t="shared" si="1"/>
        <v>5000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/>
      <c r="V42" s="40"/>
      <c r="W42" s="40"/>
      <c r="X42" s="40"/>
      <c r="Y42" s="40"/>
      <c r="Z42" s="40">
        <f t="shared" si="0"/>
        <v>0</v>
      </c>
      <c r="AA42" s="41">
        <f>+L42-Z42</f>
        <v>5000</v>
      </c>
      <c r="AB42" s="12"/>
    </row>
    <row r="43" spans="6:28" ht="15.75" x14ac:dyDescent="0.25">
      <c r="F43" s="52"/>
      <c r="G43" s="39" t="s">
        <v>100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1"/>
      <c r="AB43" s="12"/>
    </row>
    <row r="44" spans="6:28" ht="15.75" x14ac:dyDescent="0.25">
      <c r="F44" s="42" t="s">
        <v>101</v>
      </c>
      <c r="G44" s="43" t="s">
        <v>102</v>
      </c>
      <c r="H44" s="40">
        <f>1150327.95+320000</f>
        <v>1470327.95</v>
      </c>
      <c r="I44" s="40"/>
      <c r="J44" s="40"/>
      <c r="K44" s="40"/>
      <c r="L44" s="40">
        <f t="shared" si="1"/>
        <v>1470327.95</v>
      </c>
      <c r="M44" s="40">
        <v>63231</v>
      </c>
      <c r="N44" s="40">
        <v>0</v>
      </c>
      <c r="O44" s="40">
        <v>0</v>
      </c>
      <c r="P44" s="40">
        <v>105360.32000000001</v>
      </c>
      <c r="Q44" s="40">
        <v>24246.639999999999</v>
      </c>
      <c r="R44" s="40">
        <v>155302.87</v>
      </c>
      <c r="S44" s="40">
        <v>68177.98</v>
      </c>
      <c r="T44" s="40">
        <v>20319.18</v>
      </c>
      <c r="U44" s="40">
        <v>24246.639999999999</v>
      </c>
      <c r="V44" s="40">
        <f>18084+11232+62251.58+155302.87-19528.48-37323.36+24830+T44-77237.44</f>
        <v>157930.34999999998</v>
      </c>
      <c r="W44" s="40">
        <f>33915+43108.74+43347.98</f>
        <v>120371.72</v>
      </c>
      <c r="X44" s="40">
        <f>19528.48+37323.36+77237.44</f>
        <v>134089.28</v>
      </c>
      <c r="Y44" s="40"/>
      <c r="Z44" s="40">
        <f t="shared" si="0"/>
        <v>436637.99</v>
      </c>
      <c r="AA44" s="41">
        <f>+L44-Z44</f>
        <v>1033689.96</v>
      </c>
      <c r="AB44" s="12"/>
    </row>
    <row r="45" spans="6:28" ht="15.75" x14ac:dyDescent="0.25">
      <c r="F45" s="42" t="s">
        <v>103</v>
      </c>
      <c r="G45" s="43" t="s">
        <v>104</v>
      </c>
      <c r="H45" s="40">
        <v>30448.54</v>
      </c>
      <c r="I45" s="40"/>
      <c r="J45" s="40"/>
      <c r="K45" s="40"/>
      <c r="L45" s="40">
        <f t="shared" si="1"/>
        <v>30448.54</v>
      </c>
      <c r="M45" s="40">
        <v>0</v>
      </c>
      <c r="N45" s="40">
        <v>0</v>
      </c>
      <c r="O45" s="40">
        <v>0</v>
      </c>
      <c r="P45" s="40">
        <v>550</v>
      </c>
      <c r="Q45" s="40">
        <v>0</v>
      </c>
      <c r="R45" s="40">
        <v>0</v>
      </c>
      <c r="S45" s="40">
        <v>0</v>
      </c>
      <c r="T45" s="40">
        <v>0</v>
      </c>
      <c r="U45" s="40"/>
      <c r="V45" s="40">
        <v>550</v>
      </c>
      <c r="W45" s="40"/>
      <c r="X45" s="40"/>
      <c r="Y45" s="40"/>
      <c r="Z45" s="40">
        <f t="shared" si="0"/>
        <v>550</v>
      </c>
      <c r="AA45" s="41">
        <f>+L45-Z45</f>
        <v>29898.54</v>
      </c>
      <c r="AB45" s="12"/>
    </row>
    <row r="46" spans="6:28" ht="15.75" x14ac:dyDescent="0.25">
      <c r="F46" s="42">
        <v>143</v>
      </c>
      <c r="G46" s="43" t="s">
        <v>105</v>
      </c>
      <c r="H46" s="40"/>
      <c r="I46" s="40"/>
      <c r="J46" s="40"/>
      <c r="K46" s="40"/>
      <c r="L46" s="40">
        <f t="shared" si="1"/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/>
      <c r="V46" s="40"/>
      <c r="W46" s="40"/>
      <c r="X46" s="40"/>
      <c r="Y46" s="40"/>
      <c r="Z46" s="40">
        <f t="shared" si="0"/>
        <v>0</v>
      </c>
      <c r="AA46" s="41">
        <f>+L46-Z46</f>
        <v>0</v>
      </c>
      <c r="AB46" s="12"/>
    </row>
    <row r="47" spans="6:28" ht="15.75" x14ac:dyDescent="0.25">
      <c r="F47" s="42"/>
      <c r="G47" s="39" t="s">
        <v>106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>
        <f t="shared" si="0"/>
        <v>0</v>
      </c>
      <c r="AA47" s="41"/>
      <c r="AB47" s="12"/>
    </row>
    <row r="48" spans="6:28" ht="15.75" x14ac:dyDescent="0.25">
      <c r="F48" s="42" t="s">
        <v>107</v>
      </c>
      <c r="G48" s="43" t="s">
        <v>108</v>
      </c>
      <c r="H48" s="40">
        <v>95000</v>
      </c>
      <c r="I48" s="40"/>
      <c r="J48" s="40"/>
      <c r="K48" s="40"/>
      <c r="L48" s="40">
        <f t="shared" si="1"/>
        <v>95000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/>
      <c r="V48" s="50"/>
      <c r="W48" s="40"/>
      <c r="X48" s="40"/>
      <c r="Y48" s="40"/>
      <c r="Z48" s="40">
        <f t="shared" si="0"/>
        <v>0</v>
      </c>
      <c r="AA48" s="41">
        <f>+L48-Z48</f>
        <v>95000</v>
      </c>
      <c r="AB48" s="12"/>
    </row>
    <row r="49" spans="6:28" ht="15.75" x14ac:dyDescent="0.25">
      <c r="F49" s="42" t="s">
        <v>109</v>
      </c>
      <c r="G49" s="43" t="s">
        <v>110</v>
      </c>
      <c r="H49" s="40">
        <f>38397.98+20000</f>
        <v>58397.98</v>
      </c>
      <c r="I49" s="40"/>
      <c r="J49" s="40"/>
      <c r="K49" s="40"/>
      <c r="L49" s="40">
        <f t="shared" si="1"/>
        <v>58397.98</v>
      </c>
      <c r="M49" s="40">
        <v>0</v>
      </c>
      <c r="N49" s="40">
        <v>0</v>
      </c>
      <c r="O49" s="40">
        <v>3514.48</v>
      </c>
      <c r="P49" s="40">
        <v>7494</v>
      </c>
      <c r="Q49" s="40">
        <v>0</v>
      </c>
      <c r="R49" s="40">
        <v>0</v>
      </c>
      <c r="S49" s="40">
        <v>0</v>
      </c>
      <c r="T49" s="40">
        <v>0</v>
      </c>
      <c r="U49" s="40"/>
      <c r="V49" s="40">
        <f>7494-4134</f>
        <v>3360</v>
      </c>
      <c r="W49" s="40">
        <v>3514.48</v>
      </c>
      <c r="X49" s="40">
        <f>4134</f>
        <v>4134</v>
      </c>
      <c r="Y49" s="40"/>
      <c r="Z49" s="40">
        <f t="shared" si="0"/>
        <v>11008.48</v>
      </c>
      <c r="AA49" s="41">
        <f>+L49-Z49</f>
        <v>47389.5</v>
      </c>
      <c r="AB49" s="12"/>
    </row>
    <row r="50" spans="6:28" ht="15.75" x14ac:dyDescent="0.25">
      <c r="F50" s="42">
        <v>158</v>
      </c>
      <c r="G50" s="43" t="s">
        <v>111</v>
      </c>
      <c r="H50" s="40"/>
      <c r="I50" s="40"/>
      <c r="J50" s="40">
        <v>5000</v>
      </c>
      <c r="K50" s="40"/>
      <c r="L50" s="40">
        <f t="shared" si="1"/>
        <v>5000</v>
      </c>
      <c r="M50" s="40">
        <v>0</v>
      </c>
      <c r="N50" s="40">
        <v>2390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2390</v>
      </c>
      <c r="V50" s="40"/>
      <c r="W50" s="40"/>
      <c r="X50" s="40"/>
      <c r="Y50" s="40"/>
      <c r="Z50" s="40">
        <f t="shared" si="0"/>
        <v>2390</v>
      </c>
      <c r="AA50" s="41">
        <f>+L50-Z50</f>
        <v>2610</v>
      </c>
      <c r="AB50" s="12"/>
    </row>
    <row r="51" spans="6:28" ht="15.75" x14ac:dyDescent="0.25">
      <c r="F51" s="42"/>
      <c r="G51" s="39" t="s">
        <v>112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1"/>
      <c r="AB51" s="12"/>
    </row>
    <row r="52" spans="6:28" ht="15.75" x14ac:dyDescent="0.25">
      <c r="F52" s="42"/>
      <c r="G52" s="39" t="s">
        <v>113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1"/>
      <c r="AB52" s="12"/>
    </row>
    <row r="53" spans="6:28" ht="15.75" x14ac:dyDescent="0.25">
      <c r="F53" s="42" t="s">
        <v>114</v>
      </c>
      <c r="G53" s="43" t="s">
        <v>115</v>
      </c>
      <c r="H53" s="40">
        <v>5000</v>
      </c>
      <c r="I53" s="40"/>
      <c r="J53" s="40"/>
      <c r="K53" s="40"/>
      <c r="L53" s="40">
        <f t="shared" si="1"/>
        <v>5000</v>
      </c>
      <c r="M53" s="40">
        <v>0</v>
      </c>
      <c r="N53" s="40">
        <v>0</v>
      </c>
      <c r="O53" s="40">
        <v>200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200</v>
      </c>
      <c r="V53" s="40"/>
      <c r="W53" s="40"/>
      <c r="X53" s="40"/>
      <c r="Y53" s="40"/>
      <c r="Z53" s="40">
        <f t="shared" si="0"/>
        <v>200</v>
      </c>
      <c r="AA53" s="41">
        <f t="shared" ref="AA53:AA61" si="3">+L53-Z53</f>
        <v>4800</v>
      </c>
      <c r="AB53" s="12"/>
    </row>
    <row r="54" spans="6:28" ht="15.75" x14ac:dyDescent="0.25">
      <c r="F54" s="42">
        <v>164</v>
      </c>
      <c r="G54" s="43" t="s">
        <v>116</v>
      </c>
      <c r="H54" s="40"/>
      <c r="I54" s="40"/>
      <c r="J54" s="40"/>
      <c r="K54" s="40"/>
      <c r="L54" s="40">
        <f t="shared" si="1"/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/>
      <c r="V54" s="40"/>
      <c r="W54" s="40"/>
      <c r="X54" s="40"/>
      <c r="Y54" s="40"/>
      <c r="Z54" s="40">
        <f t="shared" si="0"/>
        <v>0</v>
      </c>
      <c r="AA54" s="41">
        <f t="shared" si="3"/>
        <v>0</v>
      </c>
      <c r="AB54" s="12"/>
    </row>
    <row r="55" spans="6:28" ht="15.75" x14ac:dyDescent="0.25">
      <c r="F55" s="42">
        <v>165</v>
      </c>
      <c r="G55" s="43" t="s">
        <v>117</v>
      </c>
      <c r="H55" s="40">
        <v>5000</v>
      </c>
      <c r="I55" s="40"/>
      <c r="J55" s="40"/>
      <c r="K55" s="40"/>
      <c r="L55" s="40">
        <f t="shared" si="1"/>
        <v>5000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/>
      <c r="V55" s="40"/>
      <c r="W55" s="40"/>
      <c r="X55" s="40"/>
      <c r="Y55" s="40"/>
      <c r="Z55" s="40">
        <f t="shared" si="0"/>
        <v>0</v>
      </c>
      <c r="AA55" s="41">
        <f t="shared" si="3"/>
        <v>5000</v>
      </c>
      <c r="AB55" s="12"/>
    </row>
    <row r="56" spans="6:28" ht="15.75" x14ac:dyDescent="0.25">
      <c r="F56" s="42">
        <v>166</v>
      </c>
      <c r="G56" s="43" t="s">
        <v>118</v>
      </c>
      <c r="H56" s="40"/>
      <c r="I56" s="40"/>
      <c r="J56" s="40"/>
      <c r="K56" s="40"/>
      <c r="L56" s="40">
        <f t="shared" si="1"/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/>
      <c r="V56" s="40"/>
      <c r="W56" s="40"/>
      <c r="X56" s="40"/>
      <c r="Y56" s="40"/>
      <c r="Z56" s="40">
        <f t="shared" si="0"/>
        <v>0</v>
      </c>
      <c r="AA56" s="41">
        <f t="shared" si="3"/>
        <v>0</v>
      </c>
      <c r="AB56" s="12"/>
    </row>
    <row r="57" spans="6:28" ht="15.75" x14ac:dyDescent="0.25">
      <c r="F57" s="42" t="s">
        <v>119</v>
      </c>
      <c r="G57" s="43" t="s">
        <v>120</v>
      </c>
      <c r="H57" s="40">
        <v>5000</v>
      </c>
      <c r="I57" s="40"/>
      <c r="J57" s="40"/>
      <c r="K57" s="40"/>
      <c r="L57" s="40">
        <f t="shared" si="1"/>
        <v>5000</v>
      </c>
      <c r="M57" s="40">
        <v>0</v>
      </c>
      <c r="N57" s="40">
        <v>200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200</v>
      </c>
      <c r="V57" s="40"/>
      <c r="W57" s="40"/>
      <c r="X57" s="40"/>
      <c r="Y57" s="40"/>
      <c r="Z57" s="40">
        <f t="shared" si="0"/>
        <v>200</v>
      </c>
      <c r="AA57" s="41">
        <f t="shared" si="3"/>
        <v>4800</v>
      </c>
      <c r="AB57" s="12"/>
    </row>
    <row r="58" spans="6:28" ht="15.75" x14ac:dyDescent="0.25">
      <c r="F58" s="42">
        <v>169</v>
      </c>
      <c r="G58" s="43" t="s">
        <v>121</v>
      </c>
      <c r="H58" s="40"/>
      <c r="I58" s="40"/>
      <c r="J58" s="40">
        <f>5000+10000</f>
        <v>15000</v>
      </c>
      <c r="K58" s="40"/>
      <c r="L58" s="40">
        <f t="shared" si="1"/>
        <v>15000</v>
      </c>
      <c r="M58" s="40">
        <v>0</v>
      </c>
      <c r="N58" s="40">
        <v>0</v>
      </c>
      <c r="O58" s="40">
        <v>0</v>
      </c>
      <c r="P58" s="40">
        <v>1625</v>
      </c>
      <c r="Q58" s="40">
        <v>0</v>
      </c>
      <c r="R58" s="40">
        <v>950.08</v>
      </c>
      <c r="S58" s="40">
        <v>0</v>
      </c>
      <c r="T58" s="40">
        <v>0</v>
      </c>
      <c r="U58" s="40">
        <v>1625</v>
      </c>
      <c r="V58" s="40"/>
      <c r="W58" s="40">
        <v>950.08</v>
      </c>
      <c r="X58" s="40"/>
      <c r="Y58" s="40"/>
      <c r="Z58" s="40">
        <f t="shared" si="0"/>
        <v>2575.08</v>
      </c>
      <c r="AA58" s="41">
        <f t="shared" si="3"/>
        <v>12424.92</v>
      </c>
      <c r="AB58" s="12"/>
    </row>
    <row r="59" spans="6:28" ht="15.75" x14ac:dyDescent="0.25">
      <c r="F59" s="42">
        <v>171</v>
      </c>
      <c r="G59" s="43" t="s">
        <v>122</v>
      </c>
      <c r="H59" s="40">
        <v>35000</v>
      </c>
      <c r="I59" s="40"/>
      <c r="J59" s="40"/>
      <c r="K59" s="40"/>
      <c r="L59" s="40">
        <f t="shared" si="1"/>
        <v>35000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12898.99</v>
      </c>
      <c r="U59" s="40"/>
      <c r="W59" s="40">
        <v>12898.99</v>
      </c>
      <c r="X59" s="12"/>
      <c r="Y59" s="40"/>
      <c r="Z59" s="40">
        <f t="shared" si="0"/>
        <v>12898.99</v>
      </c>
      <c r="AA59" s="41">
        <f t="shared" si="3"/>
        <v>22101.010000000002</v>
      </c>
      <c r="AB59" s="12"/>
    </row>
    <row r="60" spans="6:28" ht="15.75" x14ac:dyDescent="0.25">
      <c r="F60" s="42">
        <v>174</v>
      </c>
      <c r="G60" s="43" t="s">
        <v>123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/>
      <c r="V60" s="40"/>
      <c r="W60" s="40"/>
      <c r="X60" s="40"/>
      <c r="Y60" s="40"/>
      <c r="Z60" s="40">
        <f t="shared" si="0"/>
        <v>0</v>
      </c>
      <c r="AA60" s="41">
        <f t="shared" si="3"/>
        <v>5000</v>
      </c>
      <c r="AB60" s="12"/>
    </row>
    <row r="61" spans="6:28" ht="15.75" x14ac:dyDescent="0.25">
      <c r="F61" s="53">
        <v>176</v>
      </c>
      <c r="G61" s="54" t="s">
        <v>124</v>
      </c>
      <c r="H61" s="55"/>
      <c r="I61" s="55"/>
      <c r="J61" s="55"/>
      <c r="K61" s="55"/>
      <c r="L61" s="40">
        <f t="shared" si="1"/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/>
      <c r="V61" s="55"/>
      <c r="W61" s="55"/>
      <c r="X61" s="55"/>
      <c r="Y61" s="55"/>
      <c r="Z61" s="40">
        <f t="shared" si="0"/>
        <v>0</v>
      </c>
      <c r="AA61" s="41">
        <f t="shared" si="3"/>
        <v>0</v>
      </c>
      <c r="AB61" s="12"/>
    </row>
    <row r="62" spans="6:28" ht="16.5" thickBot="1" x14ac:dyDescent="0.3">
      <c r="F62" s="56"/>
      <c r="G62" s="57" t="s">
        <v>125</v>
      </c>
      <c r="H62" s="58">
        <f>SUM(H11:H60)</f>
        <v>6023164.4199999999</v>
      </c>
      <c r="I62" s="58">
        <f>SUM(I11:I60)</f>
        <v>85126.080000000002</v>
      </c>
      <c r="J62" s="58">
        <f>SUM(J11:J61)</f>
        <v>80000</v>
      </c>
      <c r="K62" s="58">
        <f>SUM(K17:K60)</f>
        <v>0</v>
      </c>
      <c r="L62" s="58">
        <f>SUM(L13:L61)</f>
        <v>6188290.5</v>
      </c>
      <c r="M62" s="58">
        <f>SUM(M11:M61)</f>
        <v>246958.25</v>
      </c>
      <c r="N62" s="58">
        <f>SUM(N11:N61)</f>
        <v>380811.53</v>
      </c>
      <c r="O62" s="58">
        <f>SUM(O11:O61)</f>
        <v>147011.73000000001</v>
      </c>
      <c r="P62" s="58">
        <f>SUM(P13:P61)</f>
        <v>321580.34999999998</v>
      </c>
      <c r="Q62" s="58">
        <f>SUM(Q11:Q61)</f>
        <v>293919.89</v>
      </c>
      <c r="R62" s="58">
        <f>SUM(R11:R61)</f>
        <v>435673.2</v>
      </c>
      <c r="S62" s="58">
        <f>SUM(S11:S61)</f>
        <v>303928.23</v>
      </c>
      <c r="T62" s="58">
        <f>SUM(T11:T61)</f>
        <v>569092.42000000004</v>
      </c>
      <c r="U62" s="58">
        <f>SUM(U12:U61)</f>
        <v>634538.68999999994</v>
      </c>
      <c r="V62" s="58">
        <f>SUM(V12:V61)</f>
        <v>519114.43999999994</v>
      </c>
      <c r="W62" s="58">
        <f>SUM(W12:W61)</f>
        <v>929167.19999999984</v>
      </c>
      <c r="X62" s="58">
        <f>SUM(X11:X61)</f>
        <v>354355.27</v>
      </c>
      <c r="Y62" s="58">
        <f>SUM(Y12:Y61)</f>
        <v>261800</v>
      </c>
      <c r="Z62" s="58">
        <f>SUM(Z13:Z61)</f>
        <v>2698975.6</v>
      </c>
      <c r="AA62" s="59">
        <f>SUM(AA13:AA60)</f>
        <v>3489314.8999999994</v>
      </c>
      <c r="AB62" s="12"/>
    </row>
    <row r="63" spans="6:28" ht="15.75" x14ac:dyDescent="0.25">
      <c r="F63" s="35"/>
      <c r="G63" s="30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30"/>
      <c r="AB63" s="12"/>
    </row>
    <row r="64" spans="6:28" ht="15.75" x14ac:dyDescent="0.25">
      <c r="F64" s="35"/>
      <c r="G64" s="3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60"/>
      <c r="W64" s="48"/>
      <c r="X64" s="48"/>
      <c r="Y64" s="30"/>
      <c r="AB64" s="12"/>
    </row>
    <row r="65" spans="6:29" ht="16.5" thickBot="1" x14ac:dyDescent="0.3">
      <c r="F65" s="35"/>
      <c r="G65" s="30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30" t="s">
        <v>37</v>
      </c>
      <c r="AB65" s="12"/>
    </row>
    <row r="66" spans="6:29" ht="16.5" thickBot="1" x14ac:dyDescent="0.3">
      <c r="F66" s="35"/>
      <c r="G66" s="30"/>
      <c r="H66" s="48"/>
      <c r="I66" s="48"/>
      <c r="J66" s="144" t="s">
        <v>41</v>
      </c>
      <c r="K66" s="145"/>
      <c r="L66" s="48"/>
      <c r="M66" s="48"/>
      <c r="N66" s="48"/>
      <c r="O66" s="48"/>
      <c r="U66" s="150" t="s">
        <v>42</v>
      </c>
      <c r="V66" s="151"/>
      <c r="W66" s="152"/>
      <c r="X66" s="35"/>
      <c r="Y66" s="30"/>
      <c r="Z66" s="30"/>
      <c r="AB66" s="12"/>
    </row>
    <row r="67" spans="6:29" ht="45.75" customHeight="1" thickBot="1" x14ac:dyDescent="0.3">
      <c r="F67" s="113" t="s">
        <v>43</v>
      </c>
      <c r="G67" s="114" t="s">
        <v>44</v>
      </c>
      <c r="H67" s="114" t="s">
        <v>126</v>
      </c>
      <c r="I67" s="125" t="str">
        <f>I10</f>
        <v>Ampliacion de Presupuesto</v>
      </c>
      <c r="J67" s="114" t="s">
        <v>47</v>
      </c>
      <c r="K67" s="114" t="s">
        <v>48</v>
      </c>
      <c r="L67" s="114" t="s">
        <v>49</v>
      </c>
      <c r="M67" s="114" t="str">
        <f>M10</f>
        <v>Enero</v>
      </c>
      <c r="N67" s="126" t="s">
        <v>214</v>
      </c>
      <c r="O67" s="126" t="s">
        <v>4</v>
      </c>
      <c r="P67" s="118" t="s">
        <v>5</v>
      </c>
      <c r="Q67" s="118" t="s">
        <v>216</v>
      </c>
      <c r="R67" s="118" t="s">
        <v>7</v>
      </c>
      <c r="S67" s="118" t="s">
        <v>224</v>
      </c>
      <c r="T67" s="118" t="s">
        <v>9</v>
      </c>
      <c r="U67" s="119">
        <v>0.2</v>
      </c>
      <c r="V67" s="120">
        <v>0.3</v>
      </c>
      <c r="W67" s="121">
        <v>0.5</v>
      </c>
      <c r="X67" s="122" t="s">
        <v>206</v>
      </c>
      <c r="Y67" s="123" t="s">
        <v>205</v>
      </c>
      <c r="Z67" s="117" t="s">
        <v>51</v>
      </c>
      <c r="AA67" s="124" t="s">
        <v>52</v>
      </c>
      <c r="AB67" s="12"/>
    </row>
    <row r="68" spans="6:29" ht="15.75" x14ac:dyDescent="0.25">
      <c r="F68" s="61"/>
      <c r="G68" s="62" t="s">
        <v>127</v>
      </c>
      <c r="H68" s="37">
        <f>+H62</f>
        <v>6023164.4199999999</v>
      </c>
      <c r="I68" s="37">
        <f>I62</f>
        <v>85126.080000000002</v>
      </c>
      <c r="J68" s="63">
        <f>+J62</f>
        <v>80000</v>
      </c>
      <c r="K68" s="63">
        <f>+K62</f>
        <v>0</v>
      </c>
      <c r="L68" s="63">
        <f>+L62</f>
        <v>6188290.5</v>
      </c>
      <c r="M68" s="37">
        <f t="shared" ref="M68:Y68" si="4">M62</f>
        <v>246958.25</v>
      </c>
      <c r="N68" s="37">
        <f t="shared" si="4"/>
        <v>380811.53</v>
      </c>
      <c r="O68" s="37">
        <f t="shared" si="4"/>
        <v>147011.73000000001</v>
      </c>
      <c r="P68" s="37">
        <f t="shared" si="4"/>
        <v>321580.34999999998</v>
      </c>
      <c r="Q68" s="37">
        <f t="shared" si="4"/>
        <v>293919.89</v>
      </c>
      <c r="R68" s="37">
        <f t="shared" si="4"/>
        <v>435673.2</v>
      </c>
      <c r="S68" s="37">
        <f t="shared" si="4"/>
        <v>303928.23</v>
      </c>
      <c r="T68" s="37">
        <f>T62</f>
        <v>569092.42000000004</v>
      </c>
      <c r="U68" s="37">
        <f t="shared" si="4"/>
        <v>634538.68999999994</v>
      </c>
      <c r="V68" s="37">
        <f t="shared" si="4"/>
        <v>519114.43999999994</v>
      </c>
      <c r="W68" s="37">
        <f t="shared" si="4"/>
        <v>929167.19999999984</v>
      </c>
      <c r="X68" s="37">
        <f t="shared" si="4"/>
        <v>354355.27</v>
      </c>
      <c r="Y68" s="37">
        <f t="shared" si="4"/>
        <v>261800</v>
      </c>
      <c r="Z68" s="40">
        <f>Z62</f>
        <v>2698975.6</v>
      </c>
      <c r="AA68" s="64">
        <f>+AA62</f>
        <v>3489314.8999999994</v>
      </c>
      <c r="AB68" s="12"/>
    </row>
    <row r="69" spans="6:29" ht="15.75" x14ac:dyDescent="0.25">
      <c r="F69" s="42"/>
      <c r="G69" s="39" t="s">
        <v>128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12"/>
    </row>
    <row r="70" spans="6:29" ht="15.75" x14ac:dyDescent="0.25">
      <c r="F70" s="42"/>
      <c r="G70" s="39" t="s">
        <v>129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12"/>
    </row>
    <row r="71" spans="6:29" ht="15.75" x14ac:dyDescent="0.25">
      <c r="F71" s="42">
        <v>182</v>
      </c>
      <c r="G71" s="43" t="s">
        <v>130</v>
      </c>
      <c r="H71" s="40">
        <v>2500</v>
      </c>
      <c r="I71" s="40"/>
      <c r="J71" s="40"/>
      <c r="K71" s="40"/>
      <c r="L71" s="40">
        <f>+H71+I71+J71-K71</f>
        <v>2500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/>
      <c r="V71" s="40"/>
      <c r="W71" s="40"/>
      <c r="X71" s="40"/>
      <c r="Y71" s="40"/>
      <c r="Z71" s="40">
        <f>SUM(M71:T71)</f>
        <v>0</v>
      </c>
      <c r="AA71" s="41">
        <f>+L71-Z71</f>
        <v>2500</v>
      </c>
      <c r="AB71" s="12"/>
    </row>
    <row r="72" spans="6:29" ht="15.75" x14ac:dyDescent="0.25">
      <c r="F72" s="42" t="s">
        <v>131</v>
      </c>
      <c r="G72" s="43" t="s">
        <v>132</v>
      </c>
      <c r="H72" s="40">
        <v>2000</v>
      </c>
      <c r="I72" s="40"/>
      <c r="J72" s="40"/>
      <c r="K72" s="40"/>
      <c r="L72" s="40">
        <f t="shared" ref="L72:L135" si="5">+H72+I72+J72-K72</f>
        <v>2000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50"/>
      <c r="V72" s="50"/>
      <c r="W72" s="50"/>
      <c r="X72" s="50"/>
      <c r="Y72" s="50"/>
      <c r="Z72" s="40">
        <f t="shared" ref="Z72:Z135" si="6">SUM(M72:T72)</f>
        <v>0</v>
      </c>
      <c r="AA72" s="41">
        <f>+L72-Z72</f>
        <v>2000</v>
      </c>
      <c r="AB72" s="12"/>
    </row>
    <row r="73" spans="6:29" ht="15.75" x14ac:dyDescent="0.25">
      <c r="F73" s="42">
        <v>185</v>
      </c>
      <c r="G73" s="43" t="s">
        <v>133</v>
      </c>
      <c r="H73" s="40">
        <v>27500</v>
      </c>
      <c r="I73" s="40"/>
      <c r="J73" s="40"/>
      <c r="K73" s="40"/>
      <c r="L73" s="40">
        <f t="shared" si="5"/>
        <v>27500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50"/>
      <c r="V73" s="50"/>
      <c r="W73" s="50"/>
      <c r="X73" s="50"/>
      <c r="Y73" s="50"/>
      <c r="Z73" s="40">
        <f t="shared" si="6"/>
        <v>0</v>
      </c>
      <c r="AA73" s="41">
        <f>+L73-Z73</f>
        <v>27500</v>
      </c>
      <c r="AB73" s="12"/>
      <c r="AC73" s="12"/>
    </row>
    <row r="74" spans="6:29" ht="15.75" x14ac:dyDescent="0.25">
      <c r="F74" s="42">
        <v>186</v>
      </c>
      <c r="G74" s="43" t="s">
        <v>134</v>
      </c>
      <c r="H74" s="40">
        <v>2000</v>
      </c>
      <c r="I74" s="40"/>
      <c r="J74" s="40"/>
      <c r="K74" s="40"/>
      <c r="L74" s="40">
        <f t="shared" si="5"/>
        <v>2000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50"/>
      <c r="V74" s="50"/>
      <c r="W74" s="50"/>
      <c r="X74" s="50"/>
      <c r="Y74" s="50"/>
      <c r="Z74" s="40">
        <f t="shared" si="6"/>
        <v>0</v>
      </c>
      <c r="AA74" s="41">
        <f>+L74-Z74</f>
        <v>2000</v>
      </c>
      <c r="AB74" s="12"/>
    </row>
    <row r="75" spans="6:29" ht="15.75" x14ac:dyDescent="0.25">
      <c r="F75" s="42">
        <v>189</v>
      </c>
      <c r="G75" s="43" t="s">
        <v>135</v>
      </c>
      <c r="H75" s="40">
        <v>265000</v>
      </c>
      <c r="I75" s="40">
        <f>85126.08+42563.04</f>
        <v>127689.12</v>
      </c>
      <c r="J75" s="40">
        <v>250000</v>
      </c>
      <c r="K75" s="40"/>
      <c r="L75" s="40">
        <f t="shared" si="5"/>
        <v>642689.12</v>
      </c>
      <c r="M75" s="40">
        <v>26125</v>
      </c>
      <c r="N75" s="40">
        <v>28230.26</v>
      </c>
      <c r="O75" s="40">
        <v>89444.71</v>
      </c>
      <c r="P75" s="40">
        <v>118038.04</v>
      </c>
      <c r="Q75" s="40">
        <v>89948.04</v>
      </c>
      <c r="R75" s="40">
        <v>82797.039999999994</v>
      </c>
      <c r="S75" s="40">
        <v>98475.04</v>
      </c>
      <c r="T75" s="40">
        <v>76188.039999999994</v>
      </c>
      <c r="U75" s="50">
        <f>5000+5000+5000+5000+30000+5000+7500+13600+12500+12500</f>
        <v>101100</v>
      </c>
      <c r="V75" s="51">
        <f>5189.52+5189.52+2105.26+67363.16+58752.56-42563.04-42563.04+42563.04+6749.52+53261.56-42563.04+23556.52+42563.04-42563.04+5189.52+42563.04-42563.04</f>
        <v>142231.05999999997</v>
      </c>
      <c r="W75" s="50">
        <f>15935.48+15935.48+17081.55+24285.48+28135.48+15935.48+19855.48+15935.48</f>
        <v>153099.91</v>
      </c>
      <c r="X75" s="50">
        <f>42563.04+42563.04+42563.04+42563.04+42563.04</f>
        <v>212815.2</v>
      </c>
      <c r="Y75" s="50"/>
      <c r="Z75" s="40">
        <f t="shared" si="6"/>
        <v>609246.17000000004</v>
      </c>
      <c r="AA75" s="41">
        <f>+L75-Z75</f>
        <v>33442.949999999953</v>
      </c>
      <c r="AB75" s="12"/>
      <c r="AC75" s="65"/>
    </row>
    <row r="76" spans="6:29" ht="15.75" x14ac:dyDescent="0.25">
      <c r="F76" s="42"/>
      <c r="G76" s="39" t="s">
        <v>136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50"/>
      <c r="V76" s="50"/>
      <c r="W76" s="50"/>
      <c r="X76" s="50"/>
      <c r="Y76" s="50"/>
      <c r="Z76" s="40"/>
      <c r="AA76" s="41"/>
      <c r="AB76" s="12"/>
    </row>
    <row r="77" spans="6:29" ht="15.75" x14ac:dyDescent="0.25">
      <c r="F77" s="42" t="s">
        <v>137</v>
      </c>
      <c r="G77" s="43" t="s">
        <v>138</v>
      </c>
      <c r="H77" s="40">
        <f>103996.24+44611.01</f>
        <v>148607.25</v>
      </c>
      <c r="I77" s="40"/>
      <c r="J77" s="40"/>
      <c r="K77" s="40"/>
      <c r="L77" s="40">
        <f t="shared" si="5"/>
        <v>148607.25</v>
      </c>
      <c r="M77" s="40">
        <v>915.84</v>
      </c>
      <c r="N77" s="40">
        <v>0</v>
      </c>
      <c r="O77" s="40">
        <v>1869.84</v>
      </c>
      <c r="P77" s="40">
        <v>0</v>
      </c>
      <c r="Q77" s="40">
        <v>530.88</v>
      </c>
      <c r="R77" s="40">
        <v>4263.09</v>
      </c>
      <c r="S77" s="40">
        <v>0</v>
      </c>
      <c r="T77" s="40">
        <v>5974.92</v>
      </c>
      <c r="U77" s="50"/>
      <c r="V77" s="50">
        <f>1373.76+228.96+530.88+1249.74+722.2-457.92-686.88+3465.52-2577.12</f>
        <v>3849.1400000000003</v>
      </c>
      <c r="W77" s="50">
        <f>496.08+686.88+2291.15+2509.4</f>
        <v>5983.51</v>
      </c>
      <c r="X77" s="50">
        <f>457.92+686.88+2577.12</f>
        <v>3721.92</v>
      </c>
      <c r="Y77" s="50"/>
      <c r="Z77" s="40">
        <f t="shared" si="6"/>
        <v>13554.57</v>
      </c>
      <c r="AA77" s="41">
        <f t="shared" ref="AA77:AA82" si="7">+L77-Z77</f>
        <v>135052.68</v>
      </c>
      <c r="AB77" s="12"/>
      <c r="AC77" s="12"/>
    </row>
    <row r="78" spans="6:29" ht="15.75" x14ac:dyDescent="0.25">
      <c r="F78" s="42">
        <v>194</v>
      </c>
      <c r="G78" s="43" t="s">
        <v>139</v>
      </c>
      <c r="H78" s="47">
        <v>2500</v>
      </c>
      <c r="I78" s="40"/>
      <c r="J78" s="40"/>
      <c r="K78" s="40"/>
      <c r="L78" s="40">
        <f t="shared" si="5"/>
        <v>2500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50"/>
      <c r="V78" s="50"/>
      <c r="W78" s="50"/>
      <c r="X78" s="50"/>
      <c r="Y78" s="50"/>
      <c r="Z78" s="40">
        <f t="shared" si="6"/>
        <v>0</v>
      </c>
      <c r="AA78" s="41">
        <f t="shared" si="7"/>
        <v>2500</v>
      </c>
      <c r="AB78" s="12"/>
    </row>
    <row r="79" spans="6:29" ht="15.75" x14ac:dyDescent="0.25">
      <c r="F79" s="42" t="s">
        <v>140</v>
      </c>
      <c r="G79" s="43" t="s">
        <v>141</v>
      </c>
      <c r="H79" s="40">
        <v>5000</v>
      </c>
      <c r="I79" s="40"/>
      <c r="J79" s="40"/>
      <c r="K79" s="40"/>
      <c r="L79" s="40">
        <f t="shared" si="5"/>
        <v>5000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50"/>
      <c r="V79" s="50"/>
      <c r="W79" s="50"/>
      <c r="X79" s="50"/>
      <c r="Y79" s="50"/>
      <c r="Z79" s="40">
        <f t="shared" si="6"/>
        <v>0</v>
      </c>
      <c r="AA79" s="41">
        <f t="shared" si="7"/>
        <v>5000</v>
      </c>
      <c r="AB79" s="12"/>
    </row>
    <row r="80" spans="6:29" ht="15.75" x14ac:dyDescent="0.25">
      <c r="F80" s="42">
        <v>196</v>
      </c>
      <c r="G80" s="43" t="s">
        <v>142</v>
      </c>
      <c r="H80" s="40">
        <v>170000</v>
      </c>
      <c r="I80" s="40"/>
      <c r="J80" s="40"/>
      <c r="K80" s="40"/>
      <c r="L80" s="40">
        <f t="shared" si="5"/>
        <v>170000</v>
      </c>
      <c r="M80" s="40">
        <v>0</v>
      </c>
      <c r="N80" s="40">
        <v>7800</v>
      </c>
      <c r="O80" s="40">
        <v>0</v>
      </c>
      <c r="P80" s="40">
        <v>103308.03</v>
      </c>
      <c r="Q80" s="40">
        <v>0</v>
      </c>
      <c r="R80" s="40">
        <v>4875.1099999999997</v>
      </c>
      <c r="S80" s="40">
        <v>4714.08</v>
      </c>
      <c r="T80" s="40">
        <v>0</v>
      </c>
      <c r="U80" s="40"/>
      <c r="V80" s="40">
        <f>103308.03+4714.08</f>
        <v>108022.11</v>
      </c>
      <c r="W80" s="40">
        <f>7800+4875.11</f>
        <v>12675.11</v>
      </c>
      <c r="X80" s="40"/>
      <c r="Y80" s="40"/>
      <c r="Z80" s="40">
        <f t="shared" si="6"/>
        <v>120697.22</v>
      </c>
      <c r="AA80" s="41">
        <f t="shared" si="7"/>
        <v>49302.78</v>
      </c>
      <c r="AB80" s="12"/>
    </row>
    <row r="81" spans="6:28" ht="15.75" x14ac:dyDescent="0.25">
      <c r="F81" s="42">
        <v>197</v>
      </c>
      <c r="G81" s="43" t="s">
        <v>209</v>
      </c>
      <c r="H81" s="40"/>
      <c r="I81" s="40"/>
      <c r="J81" s="40"/>
      <c r="K81" s="40"/>
      <c r="L81" s="40"/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/>
      <c r="V81" s="40"/>
      <c r="W81" s="40"/>
      <c r="X81" s="40"/>
      <c r="Y81" s="40"/>
      <c r="Z81" s="40">
        <f t="shared" si="6"/>
        <v>0</v>
      </c>
      <c r="AA81" s="41">
        <f t="shared" si="7"/>
        <v>0</v>
      </c>
      <c r="AB81" s="12"/>
    </row>
    <row r="82" spans="6:28" ht="15.75" x14ac:dyDescent="0.25">
      <c r="F82" s="42">
        <v>199</v>
      </c>
      <c r="G82" s="43" t="s">
        <v>143</v>
      </c>
      <c r="H82" s="40">
        <v>272500</v>
      </c>
      <c r="I82" s="40"/>
      <c r="J82" s="40"/>
      <c r="K82" s="40"/>
      <c r="L82" s="40">
        <f t="shared" si="5"/>
        <v>272500</v>
      </c>
      <c r="M82" s="40">
        <v>0</v>
      </c>
      <c r="N82" s="40">
        <v>1129</v>
      </c>
      <c r="O82" s="40">
        <v>1495</v>
      </c>
      <c r="P82" s="40">
        <v>3320</v>
      </c>
      <c r="Q82" s="40">
        <v>6265</v>
      </c>
      <c r="R82" s="40">
        <v>1450</v>
      </c>
      <c r="S82" s="40">
        <v>1560</v>
      </c>
      <c r="T82" s="40">
        <v>1460</v>
      </c>
      <c r="U82" s="50">
        <f>79+735+40+10</f>
        <v>864</v>
      </c>
      <c r="V82" s="40">
        <f>45+420+2220</f>
        <v>2685</v>
      </c>
      <c r="W82" s="50">
        <f>1050+1450+1450+1450+3310+1450+1520+1450</f>
        <v>13130</v>
      </c>
      <c r="X82" s="40"/>
      <c r="Y82" s="40"/>
      <c r="Z82" s="40">
        <f t="shared" si="6"/>
        <v>16679</v>
      </c>
      <c r="AA82" s="41">
        <f t="shared" si="7"/>
        <v>255821</v>
      </c>
      <c r="AB82" s="12"/>
    </row>
    <row r="83" spans="6:28" ht="15.75" x14ac:dyDescent="0.25">
      <c r="F83" s="66"/>
      <c r="G83" s="39" t="s">
        <v>144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12"/>
    </row>
    <row r="84" spans="6:28" ht="15.75" x14ac:dyDescent="0.25">
      <c r="F84" s="66"/>
      <c r="G84" s="39" t="s">
        <v>145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1"/>
      <c r="AB84" s="12"/>
    </row>
    <row r="85" spans="6:28" ht="15.75" x14ac:dyDescent="0.25">
      <c r="F85" s="42" t="s">
        <v>146</v>
      </c>
      <c r="G85" s="43" t="s">
        <v>147</v>
      </c>
      <c r="H85" s="40">
        <v>200000</v>
      </c>
      <c r="I85" s="40"/>
      <c r="J85" s="40"/>
      <c r="K85" s="40"/>
      <c r="L85" s="40">
        <f t="shared" si="5"/>
        <v>200000</v>
      </c>
      <c r="M85" s="40">
        <v>0</v>
      </c>
      <c r="N85" s="40">
        <v>25377.29</v>
      </c>
      <c r="O85" s="40">
        <v>6594</v>
      </c>
      <c r="P85" s="40">
        <v>4863.75</v>
      </c>
      <c r="Q85" s="40">
        <v>48301.62</v>
      </c>
      <c r="R85" s="40">
        <v>19101.57</v>
      </c>
      <c r="S85" s="40">
        <v>17656.7</v>
      </c>
      <c r="T85" s="40">
        <v>12736</v>
      </c>
      <c r="U85" s="40">
        <f>2515+2716+3916+886+3876.6+3736</f>
        <v>17645.599999999999</v>
      </c>
      <c r="V85" s="40">
        <f>2860+3153.75+43516.72</f>
        <v>49530.47</v>
      </c>
      <c r="W85" s="40">
        <f>22862.29+1018+1710+868.9+18215.57+13780.1+9000</f>
        <v>67454.86</v>
      </c>
      <c r="X85" s="40"/>
      <c r="Y85" s="40"/>
      <c r="Z85" s="40">
        <f t="shared" si="6"/>
        <v>134630.93</v>
      </c>
      <c r="AA85" s="41">
        <f t="shared" ref="AA85:AA93" si="8">+L85-Z85</f>
        <v>65369.070000000007</v>
      </c>
      <c r="AB85" s="12"/>
    </row>
    <row r="86" spans="6:28" ht="15.75" x14ac:dyDescent="0.25">
      <c r="F86" s="42">
        <v>214</v>
      </c>
      <c r="G86" s="43" t="s">
        <v>148</v>
      </c>
      <c r="H86" s="40">
        <v>77000</v>
      </c>
      <c r="I86" s="40"/>
      <c r="J86" s="40"/>
      <c r="K86" s="40"/>
      <c r="L86" s="40">
        <f t="shared" si="5"/>
        <v>77000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/>
      <c r="V86" s="40"/>
      <c r="W86" s="40"/>
      <c r="X86" s="40"/>
      <c r="Y86" s="40"/>
      <c r="Z86" s="40">
        <f t="shared" si="6"/>
        <v>0</v>
      </c>
      <c r="AA86" s="41">
        <f t="shared" si="8"/>
        <v>77000</v>
      </c>
      <c r="AB86" s="12"/>
    </row>
    <row r="87" spans="6:28" ht="15.75" x14ac:dyDescent="0.25">
      <c r="F87" s="42">
        <v>233</v>
      </c>
      <c r="G87" s="43" t="s">
        <v>149</v>
      </c>
      <c r="H87" s="40">
        <v>125000</v>
      </c>
      <c r="I87" s="40"/>
      <c r="J87" s="40"/>
      <c r="K87" s="40"/>
      <c r="L87" s="40">
        <f t="shared" si="5"/>
        <v>125000</v>
      </c>
      <c r="M87" s="40">
        <v>0</v>
      </c>
      <c r="N87" s="40">
        <v>7000</v>
      </c>
      <c r="O87" s="40">
        <v>0</v>
      </c>
      <c r="P87" s="40">
        <v>7642.86</v>
      </c>
      <c r="Q87" s="40">
        <v>43250</v>
      </c>
      <c r="R87" s="40">
        <v>0</v>
      </c>
      <c r="S87" s="40">
        <v>1925</v>
      </c>
      <c r="T87" s="40">
        <v>0</v>
      </c>
      <c r="U87" s="40">
        <f>4950</f>
        <v>4950</v>
      </c>
      <c r="V87" s="40">
        <f>7642.86+21365</f>
        <v>29007.86</v>
      </c>
      <c r="W87" s="40">
        <f>7000+16935+1925</f>
        <v>25860</v>
      </c>
      <c r="X87" s="40"/>
      <c r="Y87" s="40"/>
      <c r="Z87" s="40">
        <f t="shared" si="6"/>
        <v>59817.86</v>
      </c>
      <c r="AA87" s="41">
        <f t="shared" si="8"/>
        <v>65182.14</v>
      </c>
      <c r="AB87" s="12"/>
    </row>
    <row r="88" spans="6:28" ht="15.75" x14ac:dyDescent="0.25">
      <c r="F88" s="42">
        <v>239</v>
      </c>
      <c r="G88" s="43" t="s">
        <v>150</v>
      </c>
      <c r="H88" s="40">
        <v>5000</v>
      </c>
      <c r="I88" s="40"/>
      <c r="J88" s="40"/>
      <c r="K88" s="40"/>
      <c r="L88" s="40">
        <f t="shared" si="5"/>
        <v>5000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/>
      <c r="V88" s="40"/>
      <c r="W88" s="40"/>
      <c r="X88" s="40"/>
      <c r="Y88" s="40"/>
      <c r="Z88" s="40">
        <f t="shared" si="6"/>
        <v>0</v>
      </c>
      <c r="AA88" s="41">
        <f t="shared" si="8"/>
        <v>5000</v>
      </c>
      <c r="AB88" s="12"/>
    </row>
    <row r="89" spans="6:28" ht="15.75" x14ac:dyDescent="0.25">
      <c r="F89" s="42">
        <v>241</v>
      </c>
      <c r="G89" s="43" t="s">
        <v>151</v>
      </c>
      <c r="H89" s="40">
        <v>2100</v>
      </c>
      <c r="I89" s="40"/>
      <c r="J89" s="40"/>
      <c r="K89" s="40"/>
      <c r="L89" s="40">
        <f t="shared" si="5"/>
        <v>2100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/>
      <c r="V89" s="40"/>
      <c r="W89" s="40"/>
      <c r="X89" s="40"/>
      <c r="Y89" s="40"/>
      <c r="Z89" s="40">
        <f t="shared" si="6"/>
        <v>0</v>
      </c>
      <c r="AA89" s="41">
        <f t="shared" si="8"/>
        <v>2100</v>
      </c>
      <c r="AB89" s="12"/>
    </row>
    <row r="90" spans="6:28" ht="15.75" x14ac:dyDescent="0.25">
      <c r="F90" s="42">
        <v>244</v>
      </c>
      <c r="G90" s="43" t="s">
        <v>152</v>
      </c>
      <c r="H90" s="40"/>
      <c r="I90" s="40"/>
      <c r="J90" s="40">
        <v>5000</v>
      </c>
      <c r="K90" s="40"/>
      <c r="L90" s="40">
        <f t="shared" si="5"/>
        <v>5000</v>
      </c>
      <c r="M90" s="40">
        <v>0</v>
      </c>
      <c r="N90" s="40">
        <v>0</v>
      </c>
      <c r="O90" s="40">
        <v>2794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1143</v>
      </c>
      <c r="V90" s="40">
        <v>127</v>
      </c>
      <c r="W90" s="40">
        <v>1524</v>
      </c>
      <c r="X90" s="40"/>
      <c r="Y90" s="40"/>
      <c r="Z90" s="40">
        <f t="shared" si="6"/>
        <v>2794</v>
      </c>
      <c r="AA90" s="41">
        <f t="shared" si="8"/>
        <v>2206</v>
      </c>
      <c r="AB90" s="12"/>
    </row>
    <row r="91" spans="6:28" ht="15.75" x14ac:dyDescent="0.25">
      <c r="F91" s="42">
        <v>245</v>
      </c>
      <c r="G91" s="43" t="s">
        <v>153</v>
      </c>
      <c r="H91" s="40">
        <v>1000</v>
      </c>
      <c r="I91" s="40"/>
      <c r="J91" s="40"/>
      <c r="K91" s="40"/>
      <c r="L91" s="40">
        <f t="shared" si="5"/>
        <v>1000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/>
      <c r="V91" s="40"/>
      <c r="W91" s="40"/>
      <c r="X91" s="40"/>
      <c r="Y91" s="40"/>
      <c r="Z91" s="40">
        <f t="shared" si="6"/>
        <v>0</v>
      </c>
      <c r="AA91" s="41">
        <f t="shared" si="8"/>
        <v>1000</v>
      </c>
      <c r="AB91" s="12"/>
    </row>
    <row r="92" spans="6:28" ht="15.75" x14ac:dyDescent="0.25">
      <c r="F92" s="42">
        <v>247</v>
      </c>
      <c r="G92" s="43" t="s">
        <v>154</v>
      </c>
      <c r="H92" s="40">
        <v>500</v>
      </c>
      <c r="I92" s="40"/>
      <c r="J92" s="40">
        <f>10000</f>
        <v>10000</v>
      </c>
      <c r="K92" s="40"/>
      <c r="L92" s="40">
        <f t="shared" si="5"/>
        <v>10500</v>
      </c>
      <c r="M92" s="40">
        <v>0</v>
      </c>
      <c r="N92" s="40">
        <v>0</v>
      </c>
      <c r="O92" s="40">
        <v>486.8</v>
      </c>
      <c r="P92" s="40">
        <v>0</v>
      </c>
      <c r="Q92" s="40">
        <v>0</v>
      </c>
      <c r="R92" s="40">
        <v>4700</v>
      </c>
      <c r="S92" s="40">
        <v>0</v>
      </c>
      <c r="T92" s="40">
        <v>0</v>
      </c>
      <c r="U92" s="40">
        <f>486.8+4700</f>
        <v>5186.8</v>
      </c>
      <c r="V92" s="40"/>
      <c r="W92" s="40"/>
      <c r="X92" s="40"/>
      <c r="Y92" s="40"/>
      <c r="Z92" s="40">
        <f t="shared" si="6"/>
        <v>5186.8</v>
      </c>
      <c r="AA92" s="41">
        <f t="shared" si="8"/>
        <v>5313.2</v>
      </c>
      <c r="AB92" s="12"/>
    </row>
    <row r="93" spans="6:28" ht="15.75" x14ac:dyDescent="0.25">
      <c r="F93" s="42">
        <v>249</v>
      </c>
      <c r="G93" s="43" t="s">
        <v>155</v>
      </c>
      <c r="H93" s="40">
        <v>1000</v>
      </c>
      <c r="I93" s="40"/>
      <c r="J93" s="40"/>
      <c r="K93" s="40"/>
      <c r="L93" s="40">
        <f t="shared" si="5"/>
        <v>1000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/>
      <c r="V93" s="40"/>
      <c r="W93" s="40"/>
      <c r="X93" s="40"/>
      <c r="Y93" s="40"/>
      <c r="Z93" s="40">
        <f t="shared" si="6"/>
        <v>0</v>
      </c>
      <c r="AA93" s="41">
        <f t="shared" si="8"/>
        <v>1000</v>
      </c>
      <c r="AB93" s="12"/>
    </row>
    <row r="94" spans="6:28" ht="15.75" x14ac:dyDescent="0.25">
      <c r="F94" s="42"/>
      <c r="G94" s="39" t="s">
        <v>156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1"/>
      <c r="AB94" s="12"/>
    </row>
    <row r="95" spans="6:28" ht="15.75" x14ac:dyDescent="0.25">
      <c r="F95" s="42" t="s">
        <v>157</v>
      </c>
      <c r="G95" s="43" t="s">
        <v>158</v>
      </c>
      <c r="H95" s="40">
        <v>26000</v>
      </c>
      <c r="I95" s="40"/>
      <c r="J95" s="40"/>
      <c r="K95" s="40"/>
      <c r="L95" s="40">
        <f t="shared" si="5"/>
        <v>26000</v>
      </c>
      <c r="M95" s="40">
        <v>0</v>
      </c>
      <c r="N95" s="40">
        <v>0</v>
      </c>
      <c r="O95" s="40">
        <v>0</v>
      </c>
      <c r="P95" s="40">
        <v>5000</v>
      </c>
      <c r="Q95" s="40">
        <v>0</v>
      </c>
      <c r="R95" s="40">
        <v>0</v>
      </c>
      <c r="S95" s="40">
        <v>0</v>
      </c>
      <c r="T95" s="40">
        <v>0</v>
      </c>
      <c r="U95" s="40"/>
      <c r="V95" s="40">
        <f>5000</f>
        <v>5000</v>
      </c>
      <c r="W95" s="40"/>
      <c r="X95" s="40"/>
      <c r="Y95" s="40"/>
      <c r="Z95" s="40">
        <f t="shared" si="6"/>
        <v>5000</v>
      </c>
      <c r="AA95" s="41">
        <f>+L95-Z95</f>
        <v>21000</v>
      </c>
      <c r="AB95" s="12"/>
    </row>
    <row r="96" spans="6:28" ht="15.75" x14ac:dyDescent="0.25">
      <c r="F96" s="42">
        <v>264</v>
      </c>
      <c r="G96" s="43" t="s">
        <v>210</v>
      </c>
      <c r="H96" s="40"/>
      <c r="I96" s="40"/>
      <c r="J96" s="40"/>
      <c r="K96" s="40"/>
      <c r="L96" s="40">
        <f t="shared" si="5"/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/>
      <c r="V96" s="40"/>
      <c r="W96" s="40"/>
      <c r="X96" s="40"/>
      <c r="Y96" s="40"/>
      <c r="Z96" s="40">
        <f t="shared" si="6"/>
        <v>0</v>
      </c>
      <c r="AA96" s="41">
        <f>+L96-Z96</f>
        <v>0</v>
      </c>
      <c r="AB96" s="12"/>
    </row>
    <row r="97" spans="6:28" ht="15.75" x14ac:dyDescent="0.25">
      <c r="F97" s="42" t="s">
        <v>159</v>
      </c>
      <c r="G97" s="43" t="s">
        <v>160</v>
      </c>
      <c r="H97" s="40">
        <v>5000</v>
      </c>
      <c r="I97" s="40"/>
      <c r="J97" s="40">
        <f>10000+20000</f>
        <v>30000</v>
      </c>
      <c r="K97" s="40"/>
      <c r="L97" s="40">
        <f t="shared" si="5"/>
        <v>35000</v>
      </c>
      <c r="M97" s="40">
        <v>0</v>
      </c>
      <c r="N97" s="40">
        <v>1311</v>
      </c>
      <c r="O97" s="40">
        <v>6344.52</v>
      </c>
      <c r="P97" s="40">
        <v>145.5</v>
      </c>
      <c r="Q97" s="40">
        <v>5040</v>
      </c>
      <c r="R97" s="40">
        <v>14140</v>
      </c>
      <c r="S97" s="40">
        <v>0</v>
      </c>
      <c r="T97" s="40">
        <v>745.15</v>
      </c>
      <c r="U97" s="40"/>
      <c r="V97" s="40">
        <f>145.5+5040</f>
        <v>5185.5</v>
      </c>
      <c r="W97" s="40">
        <f>1311+6344.52+14140+745.15</f>
        <v>22540.670000000002</v>
      </c>
      <c r="X97" s="40"/>
      <c r="Y97" s="40"/>
      <c r="Z97" s="40">
        <f t="shared" si="6"/>
        <v>27726.170000000002</v>
      </c>
      <c r="AA97" s="41">
        <f>+L97-Z97</f>
        <v>7273.8299999999981</v>
      </c>
      <c r="AB97" s="12"/>
    </row>
    <row r="98" spans="6:28" ht="15.75" x14ac:dyDescent="0.25">
      <c r="F98" s="42">
        <v>267</v>
      </c>
      <c r="G98" s="43" t="s">
        <v>161</v>
      </c>
      <c r="H98" s="40">
        <v>5000</v>
      </c>
      <c r="I98" s="40"/>
      <c r="J98" s="40"/>
      <c r="K98" s="40"/>
      <c r="L98" s="40">
        <f t="shared" si="5"/>
        <v>5000</v>
      </c>
      <c r="M98" s="40">
        <v>0</v>
      </c>
      <c r="N98" s="40">
        <v>548.79999999999995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548.79999999999995</v>
      </c>
      <c r="V98" s="40"/>
      <c r="W98" s="40"/>
      <c r="X98" s="40"/>
      <c r="Y98" s="40"/>
      <c r="Z98" s="40">
        <f t="shared" si="6"/>
        <v>548.79999999999995</v>
      </c>
      <c r="AA98" s="41">
        <f>+L98-Z98</f>
        <v>4451.2</v>
      </c>
      <c r="AB98" s="12"/>
    </row>
    <row r="99" spans="6:28" ht="15.75" x14ac:dyDescent="0.25">
      <c r="F99" s="42">
        <v>268</v>
      </c>
      <c r="G99" s="43" t="s">
        <v>162</v>
      </c>
      <c r="H99" s="40">
        <v>2500</v>
      </c>
      <c r="I99" s="40"/>
      <c r="J99" s="40"/>
      <c r="K99" s="40"/>
      <c r="L99" s="40">
        <f t="shared" si="5"/>
        <v>2500</v>
      </c>
      <c r="M99" s="40">
        <v>0</v>
      </c>
      <c r="N99" s="40">
        <v>100.8</v>
      </c>
      <c r="O99" s="40">
        <v>0</v>
      </c>
      <c r="P99" s="40">
        <v>960</v>
      </c>
      <c r="Q99" s="40">
        <v>685</v>
      </c>
      <c r="R99" s="40">
        <v>0</v>
      </c>
      <c r="S99" s="40">
        <v>0</v>
      </c>
      <c r="T99" s="40">
        <v>0</v>
      </c>
      <c r="U99" s="40">
        <v>100.8</v>
      </c>
      <c r="V99" s="40">
        <f>960+685</f>
        <v>1645</v>
      </c>
      <c r="W99" s="40"/>
      <c r="X99" s="40"/>
      <c r="Y99" s="40"/>
      <c r="Z99" s="40">
        <f t="shared" si="6"/>
        <v>1745.8</v>
      </c>
      <c r="AA99" s="41">
        <f>+L99-Z99</f>
        <v>754.2</v>
      </c>
      <c r="AB99" s="12"/>
    </row>
    <row r="100" spans="6:28" ht="15.75" x14ac:dyDescent="0.25">
      <c r="F100" s="42"/>
      <c r="G100" s="39" t="s">
        <v>163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1"/>
      <c r="AB100" s="12"/>
    </row>
    <row r="101" spans="6:28" ht="15.75" x14ac:dyDescent="0.25">
      <c r="F101" s="42">
        <v>272</v>
      </c>
      <c r="G101" s="43" t="s">
        <v>164</v>
      </c>
      <c r="H101" s="40"/>
      <c r="I101" s="40"/>
      <c r="J101" s="40"/>
      <c r="K101" s="40"/>
      <c r="L101" s="40">
        <f t="shared" si="5"/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/>
      <c r="V101" s="40"/>
      <c r="W101" s="40"/>
      <c r="X101" s="40"/>
      <c r="Y101" s="40"/>
      <c r="Z101" s="40">
        <f t="shared" si="6"/>
        <v>0</v>
      </c>
      <c r="AA101" s="41">
        <f>+L101-Z101</f>
        <v>0</v>
      </c>
      <c r="AB101" s="12"/>
    </row>
    <row r="102" spans="6:28" ht="15.75" x14ac:dyDescent="0.25">
      <c r="F102" s="42">
        <v>275</v>
      </c>
      <c r="G102" s="44" t="s">
        <v>165</v>
      </c>
      <c r="H102" s="40">
        <v>6000</v>
      </c>
      <c r="I102" s="40"/>
      <c r="J102" s="40"/>
      <c r="K102" s="40"/>
      <c r="L102" s="40">
        <f t="shared" si="5"/>
        <v>6000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/>
      <c r="V102" s="40"/>
      <c r="W102" s="40"/>
      <c r="X102" s="40"/>
      <c r="Y102" s="40"/>
      <c r="Z102" s="40">
        <f t="shared" si="6"/>
        <v>0</v>
      </c>
      <c r="AA102" s="41">
        <f>+L102-Z102</f>
        <v>6000</v>
      </c>
      <c r="AB102" s="12"/>
    </row>
    <row r="103" spans="6:28" ht="15.75" x14ac:dyDescent="0.25">
      <c r="F103" s="42">
        <v>279</v>
      </c>
      <c r="G103" s="44" t="s">
        <v>166</v>
      </c>
      <c r="H103" s="40"/>
      <c r="I103" s="40"/>
      <c r="J103" s="40">
        <v>10000</v>
      </c>
      <c r="K103" s="40"/>
      <c r="L103" s="40">
        <f t="shared" si="5"/>
        <v>10000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2800</v>
      </c>
      <c r="T103" s="40">
        <v>0</v>
      </c>
      <c r="U103" s="40"/>
      <c r="V103" s="40"/>
      <c r="W103" s="40">
        <v>2800</v>
      </c>
      <c r="X103" s="40"/>
      <c r="Y103" s="40"/>
      <c r="Z103" s="40">
        <f t="shared" si="6"/>
        <v>2800</v>
      </c>
      <c r="AA103" s="41">
        <f>+L103-Z103</f>
        <v>7200</v>
      </c>
      <c r="AB103" s="12"/>
    </row>
    <row r="104" spans="6:28" ht="15.75" x14ac:dyDescent="0.25">
      <c r="F104" s="42">
        <v>283</v>
      </c>
      <c r="G104" s="43" t="s">
        <v>167</v>
      </c>
      <c r="H104" s="40">
        <v>2500</v>
      </c>
      <c r="I104" s="40"/>
      <c r="J104" s="40"/>
      <c r="K104" s="40"/>
      <c r="L104" s="40">
        <f t="shared" si="5"/>
        <v>2500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/>
      <c r="V104" s="40"/>
      <c r="W104" s="40"/>
      <c r="X104" s="40"/>
      <c r="Y104" s="40"/>
      <c r="Z104" s="40">
        <f t="shared" si="6"/>
        <v>0</v>
      </c>
      <c r="AA104" s="41">
        <f>+L104-Z104</f>
        <v>2500</v>
      </c>
      <c r="AB104" s="12"/>
    </row>
    <row r="105" spans="6:28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1"/>
      <c r="AB105" s="12"/>
    </row>
    <row r="106" spans="6:28" ht="15.75" x14ac:dyDescent="0.25">
      <c r="F106" s="42" t="s">
        <v>169</v>
      </c>
      <c r="G106" s="43" t="s">
        <v>170</v>
      </c>
      <c r="H106" s="40">
        <v>65000</v>
      </c>
      <c r="I106" s="40"/>
      <c r="J106" s="40"/>
      <c r="K106" s="40"/>
      <c r="L106" s="40">
        <f t="shared" si="5"/>
        <v>65000</v>
      </c>
      <c r="M106" s="40">
        <v>0</v>
      </c>
      <c r="N106" s="40">
        <v>5038.8</v>
      </c>
      <c r="O106" s="40">
        <v>0</v>
      </c>
      <c r="P106" s="40">
        <v>0</v>
      </c>
      <c r="Q106" s="40">
        <v>0</v>
      </c>
      <c r="R106" s="40">
        <v>0</v>
      </c>
      <c r="S106" s="40">
        <v>120</v>
      </c>
      <c r="T106" s="40">
        <v>0</v>
      </c>
      <c r="U106" s="40">
        <v>5038.8</v>
      </c>
      <c r="V106" s="40"/>
      <c r="W106" s="40">
        <v>120</v>
      </c>
      <c r="X106" s="40"/>
      <c r="Y106" s="40"/>
      <c r="Z106" s="40">
        <f t="shared" si="6"/>
        <v>5158.8</v>
      </c>
      <c r="AA106" s="41">
        <f t="shared" ref="AA106:AA113" si="9">+L106-Z106</f>
        <v>59841.2</v>
      </c>
      <c r="AB106" s="12"/>
    </row>
    <row r="107" spans="6:28" ht="15.75" x14ac:dyDescent="0.25">
      <c r="F107" s="42">
        <v>292</v>
      </c>
      <c r="G107" s="43" t="s">
        <v>171</v>
      </c>
      <c r="H107" s="40">
        <v>17841.150000000001</v>
      </c>
      <c r="I107" s="40"/>
      <c r="J107" s="40"/>
      <c r="K107" s="40"/>
      <c r="L107" s="40">
        <f t="shared" si="5"/>
        <v>17841.150000000001</v>
      </c>
      <c r="M107" s="40">
        <v>0</v>
      </c>
      <c r="N107" s="40">
        <v>0</v>
      </c>
      <c r="O107" s="40">
        <v>9929.35</v>
      </c>
      <c r="P107" s="40">
        <v>663.34</v>
      </c>
      <c r="Q107" s="40">
        <v>0</v>
      </c>
      <c r="R107" s="40">
        <v>0</v>
      </c>
      <c r="S107" s="40">
        <v>0</v>
      </c>
      <c r="T107" s="40">
        <v>3438.25</v>
      </c>
      <c r="U107" s="40">
        <f>3661.35+T107</f>
        <v>7099.6</v>
      </c>
      <c r="V107" s="40">
        <f>663.34</f>
        <v>663.34</v>
      </c>
      <c r="W107" s="40">
        <f>6268</f>
        <v>6268</v>
      </c>
      <c r="X107" s="40"/>
      <c r="Y107" s="40"/>
      <c r="Z107" s="40">
        <f t="shared" si="6"/>
        <v>14030.94</v>
      </c>
      <c r="AA107" s="41">
        <f t="shared" si="9"/>
        <v>3810.2100000000009</v>
      </c>
      <c r="AB107" s="12"/>
    </row>
    <row r="108" spans="6:28" ht="15.75" x14ac:dyDescent="0.25">
      <c r="F108" s="42" t="s">
        <v>172</v>
      </c>
      <c r="G108" s="43" t="s">
        <v>173</v>
      </c>
      <c r="H108" s="40">
        <v>525663.43999999994</v>
      </c>
      <c r="I108" s="40"/>
      <c r="J108" s="40"/>
      <c r="K108" s="40"/>
      <c r="L108" s="40">
        <f t="shared" si="5"/>
        <v>525663.43999999994</v>
      </c>
      <c r="M108" s="40">
        <v>0</v>
      </c>
      <c r="N108" s="40">
        <v>0</v>
      </c>
      <c r="O108" s="40">
        <v>10094</v>
      </c>
      <c r="P108" s="40">
        <v>26612</v>
      </c>
      <c r="Q108" s="40">
        <v>3240</v>
      </c>
      <c r="R108" s="40">
        <v>0</v>
      </c>
      <c r="S108" s="40">
        <v>5250</v>
      </c>
      <c r="T108" s="40">
        <v>0</v>
      </c>
      <c r="U108" s="40"/>
      <c r="V108" s="40">
        <f>1494+22952</f>
        <v>24446</v>
      </c>
      <c r="W108" s="40">
        <f>8600+3660+3240+5250</f>
        <v>20750</v>
      </c>
      <c r="X108" s="40"/>
      <c r="Y108" s="40"/>
      <c r="Z108" s="40">
        <f t="shared" si="6"/>
        <v>45196</v>
      </c>
      <c r="AA108" s="41">
        <f t="shared" si="9"/>
        <v>480467.43999999994</v>
      </c>
      <c r="AB108" s="12"/>
    </row>
    <row r="109" spans="6:28" ht="15.75" x14ac:dyDescent="0.25">
      <c r="F109" s="42">
        <v>295</v>
      </c>
      <c r="G109" s="43" t="s">
        <v>174</v>
      </c>
      <c r="H109" s="40">
        <v>6500</v>
      </c>
      <c r="I109" s="40"/>
      <c r="J109" s="40"/>
      <c r="K109" s="40"/>
      <c r="L109" s="40">
        <f t="shared" si="5"/>
        <v>6500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v>0</v>
      </c>
      <c r="U109" s="40"/>
      <c r="V109" s="40"/>
      <c r="W109" s="40"/>
      <c r="X109" s="40"/>
      <c r="Y109" s="40"/>
      <c r="Z109" s="40">
        <f t="shared" si="6"/>
        <v>0</v>
      </c>
      <c r="AA109" s="41">
        <f t="shared" si="9"/>
        <v>6500</v>
      </c>
      <c r="AB109" s="12"/>
    </row>
    <row r="110" spans="6:28" ht="15.75" x14ac:dyDescent="0.25">
      <c r="F110" s="42">
        <v>296</v>
      </c>
      <c r="G110" s="43" t="s">
        <v>175</v>
      </c>
      <c r="H110" s="40">
        <v>1500</v>
      </c>
      <c r="I110" s="40"/>
      <c r="J110" s="40"/>
      <c r="K110" s="40"/>
      <c r="L110" s="40">
        <f t="shared" si="5"/>
        <v>1500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359.7</v>
      </c>
      <c r="U110" s="40">
        <f>T110</f>
        <v>359.7</v>
      </c>
      <c r="V110" s="40"/>
      <c r="W110" s="40"/>
      <c r="X110" s="40"/>
      <c r="Y110" s="40"/>
      <c r="Z110" s="40">
        <f t="shared" si="6"/>
        <v>359.7</v>
      </c>
      <c r="AA110" s="41">
        <f t="shared" si="9"/>
        <v>1140.3</v>
      </c>
      <c r="AB110" s="12"/>
    </row>
    <row r="111" spans="6:28" ht="15.75" x14ac:dyDescent="0.25">
      <c r="F111" s="42">
        <v>297</v>
      </c>
      <c r="G111" s="43" t="s">
        <v>176</v>
      </c>
      <c r="H111" s="40">
        <v>2500</v>
      </c>
      <c r="I111" s="40"/>
      <c r="J111" s="40"/>
      <c r="K111" s="40"/>
      <c r="L111" s="40">
        <f t="shared" si="5"/>
        <v>2500</v>
      </c>
      <c r="M111" s="40">
        <v>0</v>
      </c>
      <c r="N111" s="40">
        <v>200.01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200.01</v>
      </c>
      <c r="V111" s="40"/>
      <c r="W111" s="40"/>
      <c r="X111" s="40"/>
      <c r="Y111" s="40"/>
      <c r="Z111" s="40">
        <f t="shared" si="6"/>
        <v>200.01</v>
      </c>
      <c r="AA111" s="41">
        <f t="shared" si="9"/>
        <v>2299.9899999999998</v>
      </c>
      <c r="AB111" s="12"/>
    </row>
    <row r="112" spans="6:28" ht="15.75" x14ac:dyDescent="0.25">
      <c r="F112" s="42">
        <v>298</v>
      </c>
      <c r="G112" s="43" t="s">
        <v>177</v>
      </c>
      <c r="H112" s="40">
        <v>12500</v>
      </c>
      <c r="I112" s="40"/>
      <c r="J112" s="40"/>
      <c r="K112" s="40"/>
      <c r="L112" s="40">
        <f t="shared" si="5"/>
        <v>12500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2976</v>
      </c>
      <c r="T112" s="40">
        <v>0</v>
      </c>
      <c r="U112" s="40">
        <v>2976</v>
      </c>
      <c r="V112" s="40"/>
      <c r="W112" s="40"/>
      <c r="X112" s="40"/>
      <c r="Y112" s="40"/>
      <c r="Z112" s="40">
        <f t="shared" si="6"/>
        <v>2976</v>
      </c>
      <c r="AA112" s="41">
        <f t="shared" si="9"/>
        <v>9524</v>
      </c>
      <c r="AB112" s="12"/>
    </row>
    <row r="113" spans="6:28" ht="15.75" x14ac:dyDescent="0.25">
      <c r="F113" s="42" t="s">
        <v>178</v>
      </c>
      <c r="G113" s="43" t="s">
        <v>179</v>
      </c>
      <c r="H113" s="40">
        <v>15000</v>
      </c>
      <c r="I113" s="40"/>
      <c r="J113" s="40"/>
      <c r="K113" s="40"/>
      <c r="L113" s="40">
        <f t="shared" si="5"/>
        <v>15000</v>
      </c>
      <c r="M113" s="40">
        <v>0</v>
      </c>
      <c r="N113" s="40">
        <v>31.35</v>
      </c>
      <c r="O113" s="40">
        <v>4492.55</v>
      </c>
      <c r="P113" s="40">
        <v>2075.21</v>
      </c>
      <c r="Q113" s="40">
        <v>0</v>
      </c>
      <c r="R113" s="40">
        <v>1579.6</v>
      </c>
      <c r="S113" s="40">
        <v>0</v>
      </c>
      <c r="T113" s="40">
        <v>1399</v>
      </c>
      <c r="U113" s="40">
        <f>31.35+4492.55+79.6+T113</f>
        <v>6002.5000000000009</v>
      </c>
      <c r="V113" s="40">
        <f>175.25</f>
        <v>175.25</v>
      </c>
      <c r="W113" s="40">
        <f>1899.96+1500</f>
        <v>3399.96</v>
      </c>
      <c r="X113" s="40"/>
      <c r="Y113" s="40"/>
      <c r="Z113" s="40">
        <f t="shared" si="6"/>
        <v>9577.7100000000009</v>
      </c>
      <c r="AA113" s="41">
        <f t="shared" si="9"/>
        <v>5422.2899999999991</v>
      </c>
      <c r="AB113" s="12"/>
    </row>
    <row r="114" spans="6:28" ht="15.75" x14ac:dyDescent="0.25">
      <c r="F114" s="42"/>
      <c r="G114" s="39" t="s">
        <v>180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1"/>
      <c r="AB114" s="12"/>
    </row>
    <row r="115" spans="6:28" ht="15.75" x14ac:dyDescent="0.25">
      <c r="F115" s="42" t="s">
        <v>181</v>
      </c>
      <c r="G115" s="43" t="s">
        <v>182</v>
      </c>
      <c r="H115" s="40">
        <v>125000</v>
      </c>
      <c r="I115" s="40"/>
      <c r="J115" s="40"/>
      <c r="K115" s="40"/>
      <c r="L115" s="40">
        <f t="shared" si="5"/>
        <v>125000</v>
      </c>
      <c r="M115" s="40">
        <v>0</v>
      </c>
      <c r="N115" s="40">
        <v>24900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24900</v>
      </c>
      <c r="V115" s="40"/>
      <c r="W115" s="40"/>
      <c r="X115" s="40"/>
      <c r="Y115" s="40"/>
      <c r="Z115" s="40">
        <f t="shared" si="6"/>
        <v>24900</v>
      </c>
      <c r="AA115" s="41">
        <f t="shared" ref="AA115:AA122" si="10">+L115-Z115</f>
        <v>100100</v>
      </c>
      <c r="AB115" s="12"/>
    </row>
    <row r="116" spans="6:28" ht="15.75" x14ac:dyDescent="0.25">
      <c r="F116" s="42">
        <v>323</v>
      </c>
      <c r="G116" s="43" t="s">
        <v>183</v>
      </c>
      <c r="H116" s="40">
        <v>10000</v>
      </c>
      <c r="I116" s="40"/>
      <c r="J116" s="40"/>
      <c r="K116" s="40"/>
      <c r="L116" s="40">
        <f t="shared" si="5"/>
        <v>10000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  <c r="U116" s="40"/>
      <c r="V116" s="40"/>
      <c r="W116" s="40"/>
      <c r="X116" s="40"/>
      <c r="Y116" s="40"/>
      <c r="Z116" s="40">
        <f t="shared" si="6"/>
        <v>0</v>
      </c>
      <c r="AA116" s="41">
        <f t="shared" si="10"/>
        <v>10000</v>
      </c>
      <c r="AB116" s="12"/>
    </row>
    <row r="117" spans="6:28" ht="15.75" x14ac:dyDescent="0.25">
      <c r="F117" s="42" t="s">
        <v>184</v>
      </c>
      <c r="G117" s="43" t="s">
        <v>185</v>
      </c>
      <c r="H117" s="40">
        <v>402267.46</v>
      </c>
      <c r="I117" s="40"/>
      <c r="J117" s="40"/>
      <c r="K117" s="40"/>
      <c r="L117" s="40">
        <f t="shared" si="5"/>
        <v>402267.46</v>
      </c>
      <c r="M117" s="40">
        <v>0</v>
      </c>
      <c r="N117" s="40">
        <v>21410</v>
      </c>
      <c r="O117" s="40">
        <v>54000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/>
      <c r="V117" s="40"/>
      <c r="W117" s="40">
        <f>21410+54000</f>
        <v>75410</v>
      </c>
      <c r="X117" s="40"/>
      <c r="Y117" s="40"/>
      <c r="Z117" s="40">
        <f t="shared" si="6"/>
        <v>75410</v>
      </c>
      <c r="AA117" s="41">
        <f t="shared" si="10"/>
        <v>326857.46000000002</v>
      </c>
      <c r="AB117" s="12"/>
    </row>
    <row r="118" spans="6:28" ht="15.75" x14ac:dyDescent="0.25">
      <c r="F118" s="42">
        <v>325</v>
      </c>
      <c r="G118" s="43" t="s">
        <v>211</v>
      </c>
      <c r="H118" s="40">
        <v>431000</v>
      </c>
      <c r="I118" s="40"/>
      <c r="J118" s="40"/>
      <c r="K118" s="40"/>
      <c r="L118" s="40">
        <f t="shared" si="5"/>
        <v>431000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/>
      <c r="V118" s="40"/>
      <c r="W118" s="40"/>
      <c r="X118" s="40"/>
      <c r="Y118" s="40"/>
      <c r="Z118" s="40">
        <f t="shared" si="6"/>
        <v>0</v>
      </c>
      <c r="AA118" s="41">
        <f t="shared" si="10"/>
        <v>431000</v>
      </c>
      <c r="AB118" s="12"/>
    </row>
    <row r="119" spans="6:28" ht="15.75" x14ac:dyDescent="0.25">
      <c r="F119" s="42">
        <v>326</v>
      </c>
      <c r="G119" s="43" t="s">
        <v>186</v>
      </c>
      <c r="H119" s="40">
        <v>1000</v>
      </c>
      <c r="I119" s="40"/>
      <c r="J119" s="40"/>
      <c r="K119" s="40"/>
      <c r="L119" s="40">
        <f t="shared" si="5"/>
        <v>1000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/>
      <c r="V119" s="40"/>
      <c r="W119" s="40"/>
      <c r="X119" s="40"/>
      <c r="Y119" s="40"/>
      <c r="Z119" s="40">
        <f t="shared" si="6"/>
        <v>0</v>
      </c>
      <c r="AA119" s="41">
        <f t="shared" si="10"/>
        <v>1000</v>
      </c>
      <c r="AB119" s="12"/>
    </row>
    <row r="120" spans="6:28" ht="15.75" x14ac:dyDescent="0.25">
      <c r="F120" s="42">
        <v>329</v>
      </c>
      <c r="G120" s="43" t="s">
        <v>187</v>
      </c>
      <c r="H120" s="40">
        <v>105000</v>
      </c>
      <c r="I120" s="40"/>
      <c r="J120" s="40"/>
      <c r="K120" s="40"/>
      <c r="L120" s="40">
        <f t="shared" si="5"/>
        <v>105000</v>
      </c>
      <c r="M120" s="40">
        <v>0</v>
      </c>
      <c r="N120" s="40">
        <v>0</v>
      </c>
      <c r="O120" s="40">
        <v>0</v>
      </c>
      <c r="P120" s="40">
        <v>0</v>
      </c>
      <c r="Q120" s="40">
        <v>53827.199999999997</v>
      </c>
      <c r="R120" s="40">
        <v>0</v>
      </c>
      <c r="S120" s="40">
        <v>0</v>
      </c>
      <c r="T120" s="40">
        <v>0</v>
      </c>
      <c r="U120" s="40"/>
      <c r="V120" s="40"/>
      <c r="W120" s="40">
        <v>53827.199999999997</v>
      </c>
      <c r="X120" s="40"/>
      <c r="Y120" s="40"/>
      <c r="Z120" s="40">
        <f t="shared" si="6"/>
        <v>53827.199999999997</v>
      </c>
      <c r="AA120" s="41">
        <f t="shared" si="10"/>
        <v>51172.800000000003</v>
      </c>
      <c r="AB120" s="12"/>
    </row>
    <row r="121" spans="6:28" ht="15.75" x14ac:dyDescent="0.25">
      <c r="F121" s="42">
        <v>328</v>
      </c>
      <c r="G121" s="43" t="s">
        <v>188</v>
      </c>
      <c r="H121" s="40">
        <v>2500</v>
      </c>
      <c r="I121" s="40"/>
      <c r="J121" s="40">
        <v>50000</v>
      </c>
      <c r="K121" s="40"/>
      <c r="L121" s="40">
        <f t="shared" si="5"/>
        <v>52500</v>
      </c>
      <c r="M121" s="40">
        <v>0</v>
      </c>
      <c r="N121" s="40">
        <v>0</v>
      </c>
      <c r="O121" s="40">
        <v>0</v>
      </c>
      <c r="P121" s="40">
        <v>3599</v>
      </c>
      <c r="Q121" s="40">
        <v>2500</v>
      </c>
      <c r="R121" s="40">
        <v>0</v>
      </c>
      <c r="S121" s="40">
        <v>0</v>
      </c>
      <c r="T121" s="40">
        <v>0</v>
      </c>
      <c r="U121" s="40">
        <f>3599+2500</f>
        <v>6099</v>
      </c>
      <c r="V121" s="40"/>
      <c r="W121" s="40"/>
      <c r="X121" s="40"/>
      <c r="Y121" s="40"/>
      <c r="Z121" s="40">
        <f t="shared" si="6"/>
        <v>6099</v>
      </c>
      <c r="AA121" s="41">
        <f t="shared" si="10"/>
        <v>46401</v>
      </c>
      <c r="AB121" s="12"/>
    </row>
    <row r="122" spans="6:28" ht="15.75" x14ac:dyDescent="0.25">
      <c r="F122" s="42" t="s">
        <v>189</v>
      </c>
      <c r="G122" s="43" t="s">
        <v>190</v>
      </c>
      <c r="H122" s="40">
        <v>0</v>
      </c>
      <c r="I122" s="40"/>
      <c r="J122" s="40"/>
      <c r="K122" s="40"/>
      <c r="L122" s="40">
        <f t="shared" si="5"/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/>
      <c r="V122" s="40"/>
      <c r="W122" s="40"/>
      <c r="X122" s="40"/>
      <c r="Y122" s="40"/>
      <c r="Z122" s="40"/>
      <c r="AA122" s="41">
        <f t="shared" si="10"/>
        <v>0</v>
      </c>
      <c r="AB122" s="12"/>
    </row>
    <row r="123" spans="6:28" ht="15.75" x14ac:dyDescent="0.25">
      <c r="F123" s="42"/>
      <c r="G123" s="39" t="s">
        <v>191</v>
      </c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>
        <f t="shared" si="6"/>
        <v>0</v>
      </c>
      <c r="AA123" s="41"/>
      <c r="AB123" s="12"/>
    </row>
    <row r="124" spans="6:28" ht="15.75" x14ac:dyDescent="0.25">
      <c r="F124" s="42">
        <v>413</v>
      </c>
      <c r="G124" s="43" t="s">
        <v>192</v>
      </c>
      <c r="H124" s="40">
        <v>191627.94</v>
      </c>
      <c r="I124" s="40"/>
      <c r="J124" s="40"/>
      <c r="K124" s="40"/>
      <c r="L124" s="40">
        <f t="shared" si="5"/>
        <v>191627.94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/>
      <c r="V124" s="40"/>
      <c r="W124" s="40"/>
      <c r="X124" s="40"/>
      <c r="Y124" s="40"/>
      <c r="Z124" s="40">
        <f t="shared" si="6"/>
        <v>0</v>
      </c>
      <c r="AA124" s="41">
        <f>+L124-Z124</f>
        <v>191627.94</v>
      </c>
      <c r="AB124" s="12"/>
    </row>
    <row r="125" spans="6:28" ht="15.75" x14ac:dyDescent="0.25">
      <c r="F125" s="42">
        <v>416</v>
      </c>
      <c r="G125" s="43" t="s">
        <v>193</v>
      </c>
      <c r="H125" s="40"/>
      <c r="I125" s="40"/>
      <c r="J125" s="40"/>
      <c r="K125" s="40"/>
      <c r="L125" s="40">
        <f t="shared" si="5"/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/>
      <c r="V125" s="40"/>
      <c r="W125" s="40"/>
      <c r="X125" s="40"/>
      <c r="Y125" s="40"/>
      <c r="Z125" s="40">
        <f t="shared" si="6"/>
        <v>0</v>
      </c>
      <c r="AA125" s="41">
        <f>+L125-Z125</f>
        <v>0</v>
      </c>
      <c r="AB125" s="12"/>
    </row>
    <row r="126" spans="6:28" ht="15.75" x14ac:dyDescent="0.25">
      <c r="F126" s="42">
        <v>419</v>
      </c>
      <c r="G126" s="43" t="s">
        <v>194</v>
      </c>
      <c r="H126" s="40">
        <v>80996.25</v>
      </c>
      <c r="I126" s="40"/>
      <c r="J126" s="40"/>
      <c r="K126" s="40"/>
      <c r="L126" s="40">
        <f t="shared" si="5"/>
        <v>80996.25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2500</v>
      </c>
      <c r="S126" s="40">
        <v>6000</v>
      </c>
      <c r="T126" s="40">
        <v>3000</v>
      </c>
      <c r="U126" s="40"/>
      <c r="V126" s="40">
        <f>2500+6000+1500</f>
        <v>10000</v>
      </c>
      <c r="W126" s="40">
        <v>1500</v>
      </c>
      <c r="X126" s="40"/>
      <c r="Y126" s="40"/>
      <c r="Z126" s="40">
        <f t="shared" si="6"/>
        <v>11500</v>
      </c>
      <c r="AA126" s="41">
        <f>+L126-Z126</f>
        <v>69496.25</v>
      </c>
      <c r="AB126" s="12"/>
    </row>
    <row r="127" spans="6:28" ht="15.75" x14ac:dyDescent="0.25">
      <c r="F127" s="42">
        <v>472</v>
      </c>
      <c r="G127" s="43" t="s">
        <v>195</v>
      </c>
      <c r="H127" s="40">
        <v>490703.59</v>
      </c>
      <c r="I127" s="40"/>
      <c r="J127" s="40"/>
      <c r="K127" s="40"/>
      <c r="L127" s="40">
        <f>H127+I127+J127-K127</f>
        <v>490703.59</v>
      </c>
      <c r="M127" s="40">
        <v>0</v>
      </c>
      <c r="N127" s="40">
        <v>0</v>
      </c>
      <c r="O127" s="40">
        <v>0</v>
      </c>
      <c r="P127" s="40">
        <v>230855.53</v>
      </c>
      <c r="Q127" s="40">
        <v>43110.55</v>
      </c>
      <c r="R127" s="40">
        <v>0</v>
      </c>
      <c r="S127" s="40">
        <v>13688.32</v>
      </c>
      <c r="T127" s="40">
        <v>0</v>
      </c>
      <c r="U127" s="40"/>
      <c r="V127" s="40">
        <f>230855.53+43110.55+13688.32</f>
        <v>287654.40000000002</v>
      </c>
      <c r="W127" s="40"/>
      <c r="X127" s="40"/>
      <c r="Y127" s="40"/>
      <c r="Z127" s="40">
        <f t="shared" si="6"/>
        <v>287654.40000000002</v>
      </c>
      <c r="AA127" s="41">
        <f>+L127-Z127</f>
        <v>203049.19</v>
      </c>
      <c r="AB127" s="12"/>
    </row>
    <row r="128" spans="6:28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Y128" s="40"/>
      <c r="Z128" s="40"/>
      <c r="AA128" s="41"/>
      <c r="AB128" s="12"/>
    </row>
    <row r="129" spans="6:29" ht="15.75" x14ac:dyDescent="0.25">
      <c r="F129" s="42">
        <v>991</v>
      </c>
      <c r="G129" s="43" t="s">
        <v>197</v>
      </c>
      <c r="H129" s="40">
        <v>9687872.4900000002</v>
      </c>
      <c r="I129" s="40"/>
      <c r="J129" s="40"/>
      <c r="K129" s="40">
        <f>5000+5000+10000+5000+25000+50000+10000+250000+5000+10000+10000+10000+10000+20000+10000</f>
        <v>435000</v>
      </c>
      <c r="L129" s="40">
        <f t="shared" si="5"/>
        <v>9252872.4900000002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/>
      <c r="V129" s="40"/>
      <c r="W129" s="40"/>
      <c r="X129" s="40"/>
      <c r="Y129" s="40"/>
      <c r="Z129" s="40">
        <f t="shared" si="6"/>
        <v>0</v>
      </c>
      <c r="AA129" s="41">
        <f>+L129-Z129</f>
        <v>9252872.4900000002</v>
      </c>
      <c r="AB129" s="12"/>
    </row>
    <row r="130" spans="6:29" ht="15.75" x14ac:dyDescent="0.25">
      <c r="F130" s="42"/>
      <c r="G130" s="67" t="s">
        <v>198</v>
      </c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1"/>
      <c r="AB130" s="12"/>
    </row>
    <row r="131" spans="6:29" ht="15.75" x14ac:dyDescent="0.25">
      <c r="F131" s="42"/>
      <c r="G131" s="68" t="s">
        <v>199</v>
      </c>
      <c r="H131" s="40">
        <v>0</v>
      </c>
      <c r="I131" s="40"/>
      <c r="J131" s="40"/>
      <c r="K131" s="40"/>
      <c r="L131" s="40">
        <f t="shared" si="5"/>
        <v>0</v>
      </c>
      <c r="M131" s="40">
        <v>530.88</v>
      </c>
      <c r="N131" s="40">
        <v>530.88</v>
      </c>
      <c r="O131" s="40">
        <v>530.88</v>
      </c>
      <c r="P131" s="40">
        <v>530.88</v>
      </c>
      <c r="Q131" s="40">
        <v>530.88</v>
      </c>
      <c r="R131" s="40">
        <v>1061.76</v>
      </c>
      <c r="S131" s="40">
        <v>530.88</v>
      </c>
      <c r="T131" s="40">
        <v>530.88</v>
      </c>
      <c r="U131" s="40">
        <f>530.88+530.88+530.88+530.88+530.88+530.88+530.88+530.88+530.88</f>
        <v>4777.92</v>
      </c>
      <c r="V131" s="40"/>
      <c r="W131" s="40"/>
      <c r="X131" s="40"/>
      <c r="Y131" s="40"/>
      <c r="Z131" s="40">
        <f t="shared" si="6"/>
        <v>4777.92</v>
      </c>
      <c r="AA131" s="41">
        <f t="shared" ref="AA131:AA136" si="11">+L131-Z131</f>
        <v>-4777.92</v>
      </c>
      <c r="AB131" s="12"/>
    </row>
    <row r="132" spans="6:29" ht="15.75" x14ac:dyDescent="0.25">
      <c r="F132" s="42"/>
      <c r="G132" s="69" t="s">
        <v>200</v>
      </c>
      <c r="H132" s="40">
        <v>0</v>
      </c>
      <c r="I132" s="40"/>
      <c r="J132" s="40"/>
      <c r="K132" s="40"/>
      <c r="L132" s="40">
        <f t="shared" si="5"/>
        <v>0</v>
      </c>
      <c r="M132" s="40">
        <v>21185.26</v>
      </c>
      <c r="N132" s="40">
        <v>3070.23</v>
      </c>
      <c r="O132" s="40">
        <v>7401.17</v>
      </c>
      <c r="P132" s="40">
        <v>8825.3700000000008</v>
      </c>
      <c r="Q132" s="40">
        <v>8333.57</v>
      </c>
      <c r="R132" s="40">
        <v>8497.93</v>
      </c>
      <c r="S132" s="40">
        <v>7443.75</v>
      </c>
      <c r="T132" s="40">
        <v>8861.69</v>
      </c>
      <c r="U132" s="40">
        <f>21185.26+3070.23+7401.17+8825.37+8333.57+8497.93+7443.75+T132</f>
        <v>73618.97</v>
      </c>
      <c r="V132" s="40"/>
      <c r="W132" s="40"/>
      <c r="X132" s="40"/>
      <c r="Y132" s="40"/>
      <c r="Z132" s="40">
        <f t="shared" si="6"/>
        <v>73618.97</v>
      </c>
      <c r="AA132" s="41">
        <f t="shared" si="11"/>
        <v>-73618.97</v>
      </c>
      <c r="AB132" s="12"/>
    </row>
    <row r="133" spans="6:29" ht="15.75" x14ac:dyDescent="0.25">
      <c r="F133" s="42"/>
      <c r="G133" s="69" t="s">
        <v>201</v>
      </c>
      <c r="H133" s="40">
        <v>0</v>
      </c>
      <c r="I133" s="40"/>
      <c r="J133" s="40"/>
      <c r="K133" s="40"/>
      <c r="L133" s="40">
        <f t="shared" si="5"/>
        <v>0</v>
      </c>
      <c r="M133" s="40">
        <v>2777.25</v>
      </c>
      <c r="N133" s="40">
        <v>2777.25</v>
      </c>
      <c r="O133" s="40">
        <v>2777.25</v>
      </c>
      <c r="P133" s="40">
        <v>2777.25</v>
      </c>
      <c r="Q133" s="40">
        <v>2777.25</v>
      </c>
      <c r="R133" s="40">
        <v>2777.25</v>
      </c>
      <c r="S133" s="40">
        <v>2777.25</v>
      </c>
      <c r="T133" s="40">
        <v>2777.25</v>
      </c>
      <c r="U133" s="40">
        <f>2294.25+2294.25+2294.25+2294.25+2294.25+2294.25+2294.25+2294.25</f>
        <v>18354</v>
      </c>
      <c r="V133" s="40"/>
      <c r="W133" s="40">
        <f>483+483+483+483+483+483+483+483</f>
        <v>3864</v>
      </c>
      <c r="X133" s="40"/>
      <c r="Y133" s="40"/>
      <c r="Z133" s="40">
        <f t="shared" si="6"/>
        <v>22218</v>
      </c>
      <c r="AA133" s="41">
        <f t="shared" si="11"/>
        <v>-22218</v>
      </c>
      <c r="AB133" s="12"/>
    </row>
    <row r="134" spans="6:29" ht="15.75" x14ac:dyDescent="0.25">
      <c r="F134" s="53"/>
      <c r="G134" s="70" t="s">
        <v>202</v>
      </c>
      <c r="H134" s="55">
        <v>0</v>
      </c>
      <c r="I134" s="55"/>
      <c r="J134" s="55"/>
      <c r="K134" s="55"/>
      <c r="L134" s="55">
        <f t="shared" si="5"/>
        <v>0</v>
      </c>
      <c r="M134" s="55">
        <v>0</v>
      </c>
      <c r="N134" s="55">
        <v>0</v>
      </c>
      <c r="O134" s="55">
        <v>0</v>
      </c>
      <c r="P134" s="55">
        <v>0</v>
      </c>
      <c r="Q134" s="55">
        <v>0</v>
      </c>
      <c r="R134" s="55">
        <v>0</v>
      </c>
      <c r="S134" s="55">
        <v>0</v>
      </c>
      <c r="T134" s="55">
        <v>0</v>
      </c>
      <c r="U134" s="71"/>
      <c r="V134" s="55"/>
      <c r="W134" s="71"/>
      <c r="X134" s="55"/>
      <c r="Y134" s="55"/>
      <c r="Z134" s="40">
        <f t="shared" si="6"/>
        <v>0</v>
      </c>
      <c r="AA134" s="41">
        <f t="shared" si="11"/>
        <v>0</v>
      </c>
      <c r="AB134" s="12"/>
    </row>
    <row r="135" spans="6:29" ht="15.75" x14ac:dyDescent="0.25">
      <c r="F135" s="53"/>
      <c r="G135" s="70" t="s">
        <v>203</v>
      </c>
      <c r="H135" s="55">
        <v>0</v>
      </c>
      <c r="I135" s="55"/>
      <c r="J135" s="55"/>
      <c r="K135" s="55"/>
      <c r="L135" s="55">
        <f t="shared" si="5"/>
        <v>0</v>
      </c>
      <c r="M135" s="55">
        <v>0</v>
      </c>
      <c r="N135" s="55">
        <v>8400.83</v>
      </c>
      <c r="O135" s="55">
        <v>0</v>
      </c>
      <c r="P135" s="55">
        <v>0</v>
      </c>
      <c r="Q135" s="55">
        <v>0</v>
      </c>
      <c r="R135" s="55">
        <v>5630</v>
      </c>
      <c r="S135" s="55">
        <v>1546.4</v>
      </c>
      <c r="T135" s="55">
        <v>0</v>
      </c>
      <c r="U135" s="71"/>
      <c r="V135" s="55"/>
      <c r="W135" s="71"/>
      <c r="X135" s="55"/>
      <c r="Y135" s="55">
        <f>8400.83+5630+1546.4</f>
        <v>15577.23</v>
      </c>
      <c r="Z135" s="40">
        <f t="shared" si="6"/>
        <v>15577.23</v>
      </c>
      <c r="AA135" s="41">
        <f t="shared" si="11"/>
        <v>-15577.23</v>
      </c>
      <c r="AB135" s="12"/>
    </row>
    <row r="136" spans="6:29" ht="16.5" thickBot="1" x14ac:dyDescent="0.3">
      <c r="F136" s="106"/>
      <c r="G136" s="107" t="s">
        <v>204</v>
      </c>
      <c r="H136" s="58">
        <f>SUM(H68:H129)</f>
        <v>19553843.990000002</v>
      </c>
      <c r="I136" s="58">
        <f>SUM(I68:I134)</f>
        <v>212815.2</v>
      </c>
      <c r="J136" s="58">
        <f>SUM(J68:J135)</f>
        <v>435000</v>
      </c>
      <c r="K136" s="58">
        <f>SUM(K68:K133)</f>
        <v>435000</v>
      </c>
      <c r="L136" s="58">
        <f t="shared" ref="L136:P136" si="12">SUM(L68:L135)</f>
        <v>19766659.190000001</v>
      </c>
      <c r="M136" s="58">
        <f t="shared" si="12"/>
        <v>298492.48000000004</v>
      </c>
      <c r="N136" s="58">
        <f t="shared" si="12"/>
        <v>518668.02999999997</v>
      </c>
      <c r="O136" s="58">
        <f t="shared" si="12"/>
        <v>345265.79999999993</v>
      </c>
      <c r="P136" s="58">
        <f t="shared" si="12"/>
        <v>840797.10999999987</v>
      </c>
      <c r="Q136" s="58">
        <f>SUM(Q68:Q135)</f>
        <v>602259.88</v>
      </c>
      <c r="R136" s="58">
        <f>SUM(R68:R135)</f>
        <v>589046.55000000005</v>
      </c>
      <c r="S136" s="58">
        <f>SUM(S68:S135)</f>
        <v>471391.65</v>
      </c>
      <c r="T136" s="58">
        <f>SUM(T68:T135)</f>
        <v>686563.3</v>
      </c>
      <c r="U136" s="108">
        <f>SUM(U68:U135)</f>
        <v>915504.19000000006</v>
      </c>
      <c r="V136" s="58">
        <f>SUM(V68:V134)</f>
        <v>1189336.5699999998</v>
      </c>
      <c r="W136" s="108">
        <f>SUM(W68:W135)</f>
        <v>1399374.42</v>
      </c>
      <c r="X136" s="58">
        <f>SUM(X68:X135)</f>
        <v>570892.39</v>
      </c>
      <c r="Y136" s="58">
        <f>SUM(Y68:Y135)</f>
        <v>277377.23</v>
      </c>
      <c r="Z136" s="58">
        <f>SUM(Z68:Z135)</f>
        <v>4352484.8</v>
      </c>
      <c r="AA136" s="59">
        <f t="shared" si="11"/>
        <v>15414174.390000001</v>
      </c>
      <c r="AB136" s="12"/>
    </row>
    <row r="137" spans="6:29" ht="15.75" x14ac:dyDescent="0.25">
      <c r="F137" s="30"/>
      <c r="G137" s="30"/>
      <c r="H137" s="12"/>
      <c r="I137" s="60"/>
      <c r="J137" s="86"/>
      <c r="K137" s="86"/>
      <c r="L137" s="83"/>
      <c r="M137" s="80"/>
      <c r="N137" s="74"/>
      <c r="O137" s="74"/>
      <c r="P137" s="84"/>
      <c r="Q137" s="84"/>
      <c r="R137" s="84"/>
      <c r="S137" s="84"/>
      <c r="T137" s="84"/>
      <c r="U137" s="84"/>
      <c r="V137" s="84"/>
      <c r="W137" s="84"/>
      <c r="X137" s="87"/>
      <c r="Y137" s="82"/>
      <c r="AA137" s="77"/>
      <c r="AB137" s="76"/>
      <c r="AC137" s="76"/>
    </row>
    <row r="138" spans="6:29" ht="15.75" x14ac:dyDescent="0.25">
      <c r="F138" s="30"/>
      <c r="G138" s="30"/>
      <c r="I138" s="78"/>
      <c r="J138" s="77"/>
      <c r="K138" s="77"/>
      <c r="L138" s="83"/>
      <c r="M138" s="83"/>
      <c r="N138" s="74">
        <f>'[2]dic 22'!Y131</f>
        <v>1320782.7289999998</v>
      </c>
      <c r="O138" s="74"/>
      <c r="P138" s="84"/>
      <c r="Q138" s="84"/>
      <c r="R138" s="84"/>
      <c r="S138" s="84"/>
      <c r="T138" s="84"/>
      <c r="U138" s="84"/>
      <c r="V138" s="84"/>
      <c r="W138" s="84"/>
      <c r="X138" s="87"/>
      <c r="Y138" s="76"/>
      <c r="AA138" s="77"/>
      <c r="AB138" s="76"/>
      <c r="AC138" s="76"/>
    </row>
    <row r="139" spans="6:29" ht="15.75" x14ac:dyDescent="0.25">
      <c r="F139" s="30"/>
      <c r="G139" s="30"/>
      <c r="H139" s="88"/>
      <c r="I139" s="60"/>
      <c r="J139" s="89"/>
      <c r="K139" s="77"/>
      <c r="L139" s="146"/>
      <c r="M139" s="146"/>
      <c r="N139" s="90">
        <f>N138-N134</f>
        <v>1320782.7289999998</v>
      </c>
      <c r="O139" s="90"/>
      <c r="P139" s="91"/>
      <c r="Q139" s="91"/>
      <c r="R139" s="91"/>
      <c r="S139" s="91"/>
      <c r="T139" s="91"/>
      <c r="U139" s="91"/>
      <c r="V139" s="91"/>
      <c r="W139" s="92"/>
      <c r="X139" s="82"/>
      <c r="Y139" s="82"/>
      <c r="Z139" s="12"/>
      <c r="AA139" s="78"/>
      <c r="AB139" s="76"/>
      <c r="AC139" s="76"/>
    </row>
    <row r="140" spans="6:29" ht="15.75" x14ac:dyDescent="0.25">
      <c r="F140" s="30"/>
      <c r="G140" s="4"/>
      <c r="H140" s="88"/>
      <c r="I140" s="86"/>
      <c r="J140" s="89"/>
      <c r="K140" s="60"/>
      <c r="L140" s="143"/>
      <c r="M140" s="143"/>
      <c r="N140" s="93"/>
      <c r="O140" s="93"/>
      <c r="P140" s="94"/>
      <c r="Q140" s="94"/>
      <c r="R140" s="94"/>
      <c r="S140" s="94"/>
      <c r="T140" s="84"/>
      <c r="U140" s="84"/>
      <c r="V140" s="84"/>
      <c r="W140" s="84"/>
      <c r="X140" s="87"/>
      <c r="Y140" s="87"/>
      <c r="Z140" s="73"/>
      <c r="AA140" s="86"/>
      <c r="AB140" s="76"/>
      <c r="AC140" s="76"/>
    </row>
    <row r="141" spans="6:29" ht="15.75" x14ac:dyDescent="0.25">
      <c r="I141" s="78"/>
      <c r="J141" s="77"/>
      <c r="K141" s="86"/>
      <c r="L141" s="83"/>
      <c r="M141" s="83"/>
      <c r="N141" s="74"/>
      <c r="O141" s="74"/>
      <c r="P141" s="84"/>
      <c r="Q141" s="84"/>
      <c r="R141" s="84"/>
      <c r="S141" s="84"/>
      <c r="T141" s="84"/>
      <c r="U141" s="84"/>
      <c r="V141" s="84"/>
      <c r="W141" s="84"/>
      <c r="X141" s="75"/>
      <c r="Y141" s="75"/>
      <c r="Z141" s="72"/>
      <c r="AA141" s="87"/>
      <c r="AB141" s="76"/>
      <c r="AC141" s="76"/>
    </row>
    <row r="142" spans="6:29" x14ac:dyDescent="0.25">
      <c r="I142" s="78"/>
      <c r="J142" s="77"/>
      <c r="K142" s="77"/>
      <c r="L142" s="79"/>
      <c r="M142" s="79"/>
      <c r="N142" s="81"/>
      <c r="O142" s="81"/>
      <c r="P142" s="92"/>
      <c r="Q142" s="92"/>
      <c r="R142" s="92"/>
      <c r="S142" s="92"/>
      <c r="T142" s="92"/>
      <c r="U142" s="92"/>
      <c r="V142" s="92"/>
      <c r="W142" s="92"/>
      <c r="X142" s="82"/>
      <c r="Y142" s="76"/>
      <c r="AA142" s="76"/>
      <c r="AB142" s="76"/>
      <c r="AC142" s="76"/>
    </row>
    <row r="143" spans="6:29" ht="15.75" x14ac:dyDescent="0.25">
      <c r="I143" s="77"/>
      <c r="J143" s="86"/>
      <c r="K143" s="86"/>
      <c r="L143" s="83"/>
      <c r="M143" s="83"/>
      <c r="N143" s="95"/>
      <c r="O143" s="95"/>
      <c r="P143" s="84"/>
      <c r="Q143" s="84"/>
      <c r="R143" s="84"/>
      <c r="S143" s="84"/>
      <c r="T143" s="92"/>
      <c r="U143" s="92"/>
      <c r="V143" s="92"/>
      <c r="W143" s="84"/>
      <c r="X143" s="75"/>
      <c r="Y143" s="75"/>
      <c r="Z143" s="72"/>
      <c r="AA143" s="75"/>
      <c r="AB143" s="75"/>
      <c r="AC143" s="75"/>
    </row>
    <row r="144" spans="6:29" x14ac:dyDescent="0.25">
      <c r="I144" s="77"/>
      <c r="J144" s="77"/>
      <c r="K144" s="77"/>
      <c r="L144" s="79"/>
      <c r="M144" s="79"/>
      <c r="N144" s="96"/>
      <c r="O144" s="96"/>
      <c r="P144" s="92"/>
      <c r="Q144" s="92"/>
      <c r="R144" s="92"/>
      <c r="S144" s="92"/>
      <c r="T144" s="92"/>
      <c r="U144" s="92"/>
      <c r="V144" s="92"/>
      <c r="W144" s="85"/>
      <c r="X144" s="76"/>
      <c r="Y144" s="76"/>
      <c r="AA144" s="76"/>
      <c r="AB144" s="76"/>
      <c r="AC144" s="76"/>
    </row>
    <row r="145" spans="8:29" x14ac:dyDescent="0.25">
      <c r="I145" s="77"/>
      <c r="J145" s="77"/>
      <c r="K145" s="77"/>
      <c r="L145" s="79"/>
      <c r="M145" s="79"/>
      <c r="N145" s="97"/>
      <c r="O145" s="97"/>
      <c r="P145" s="92"/>
      <c r="Q145" s="92"/>
      <c r="R145" s="92"/>
      <c r="S145" s="92"/>
      <c r="T145" s="92"/>
      <c r="U145" s="92"/>
      <c r="V145" s="92"/>
      <c r="W145" s="92"/>
      <c r="X145" s="76"/>
      <c r="Y145" s="76"/>
      <c r="AA145" s="76"/>
      <c r="AB145" s="76"/>
      <c r="AC145" s="76"/>
    </row>
    <row r="146" spans="8:29" x14ac:dyDescent="0.25">
      <c r="I146" s="77"/>
      <c r="J146" s="78">
        <f>I134-U134</f>
        <v>0</v>
      </c>
      <c r="K146" s="77"/>
      <c r="L146" s="96"/>
      <c r="M146" s="96"/>
      <c r="N146" s="85"/>
      <c r="O146" s="85"/>
      <c r="P146" s="98"/>
      <c r="Q146" s="98"/>
      <c r="R146" s="98"/>
      <c r="S146" s="98"/>
      <c r="T146" s="98"/>
      <c r="U146" s="98"/>
      <c r="V146" s="98"/>
      <c r="W146" s="92"/>
      <c r="X146" s="76"/>
      <c r="Y146" s="76"/>
      <c r="AA146" s="76"/>
      <c r="AB146" s="76"/>
      <c r="AC146" s="76"/>
    </row>
    <row r="147" spans="8:29" x14ac:dyDescent="0.25">
      <c r="I147" s="78"/>
      <c r="J147" s="77"/>
      <c r="K147" s="99"/>
      <c r="L147" s="96"/>
      <c r="M147" s="96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76"/>
      <c r="Y147" s="76"/>
      <c r="AA147" s="76"/>
      <c r="AB147" s="76"/>
      <c r="AC147" s="76"/>
    </row>
    <row r="148" spans="8:29" x14ac:dyDescent="0.25">
      <c r="H148" s="12"/>
      <c r="I148" s="77"/>
      <c r="J148" s="77"/>
      <c r="K148" s="99"/>
      <c r="L148" s="96"/>
      <c r="M148" s="96"/>
      <c r="N148" s="92"/>
      <c r="O148" s="92"/>
      <c r="P148" s="92"/>
      <c r="Q148" s="92"/>
      <c r="R148" s="92"/>
      <c r="S148" s="92"/>
      <c r="T148" s="92"/>
      <c r="U148" s="92"/>
      <c r="V148" s="92"/>
      <c r="W148" s="85"/>
      <c r="X148" s="76"/>
      <c r="Y148" s="76"/>
      <c r="AA148" s="76"/>
      <c r="AB148" s="76"/>
      <c r="AC148" s="76"/>
    </row>
    <row r="149" spans="8:29" x14ac:dyDescent="0.25">
      <c r="I149" s="77"/>
      <c r="J149" s="77"/>
      <c r="K149" s="99"/>
      <c r="L149" s="79"/>
      <c r="M149" s="79"/>
      <c r="N149" s="98"/>
      <c r="O149" s="98"/>
      <c r="P149" s="85"/>
      <c r="Q149" s="85"/>
      <c r="R149" s="85"/>
      <c r="S149" s="85"/>
      <c r="T149" s="85"/>
      <c r="U149" s="85"/>
      <c r="V149" s="100"/>
      <c r="W149" s="92"/>
      <c r="X149" s="76"/>
      <c r="Y149" s="76"/>
      <c r="AA149" s="76"/>
      <c r="AB149" s="76"/>
      <c r="AC149" s="76"/>
    </row>
    <row r="150" spans="8:29" x14ac:dyDescent="0.25">
      <c r="H150" s="12"/>
      <c r="I150" s="77"/>
      <c r="J150" s="77"/>
      <c r="K150" s="99"/>
      <c r="L150" s="79"/>
      <c r="M150" s="79"/>
      <c r="N150" s="101"/>
      <c r="O150" s="101"/>
      <c r="P150" s="92"/>
      <c r="Q150" s="92"/>
      <c r="R150" s="92"/>
      <c r="S150" s="92"/>
      <c r="T150" s="92"/>
      <c r="U150" s="92"/>
      <c r="V150" s="92"/>
      <c r="W150" s="92"/>
      <c r="X150" s="76"/>
      <c r="Y150" s="76"/>
      <c r="AA150" s="76"/>
      <c r="AB150" s="76"/>
      <c r="AC150" s="76"/>
    </row>
    <row r="151" spans="8:29" x14ac:dyDescent="0.25">
      <c r="I151" s="77"/>
      <c r="J151" s="77"/>
      <c r="K151" s="99"/>
      <c r="N151" s="12"/>
      <c r="O151" s="12"/>
      <c r="P151" s="102"/>
      <c r="Q151" s="102"/>
      <c r="R151" s="102"/>
      <c r="S151" s="102"/>
      <c r="T151" s="102"/>
      <c r="U151" s="102"/>
      <c r="V151" s="102"/>
      <c r="W151" s="76"/>
      <c r="X151" s="76"/>
      <c r="Y151" s="76"/>
      <c r="AA151" s="76"/>
      <c r="AB151" s="76"/>
      <c r="AC151" s="76"/>
    </row>
    <row r="152" spans="8:29" x14ac:dyDescent="0.25">
      <c r="I152" s="78">
        <f>H134+I134</f>
        <v>0</v>
      </c>
      <c r="J152" s="77"/>
      <c r="K152" s="99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AA152" s="76"/>
      <c r="AB152" s="76"/>
      <c r="AC152" s="76"/>
    </row>
    <row r="153" spans="8:29" x14ac:dyDescent="0.25">
      <c r="H153" s="12"/>
      <c r="I153" s="78">
        <f>L134</f>
        <v>0</v>
      </c>
      <c r="J153" s="77"/>
      <c r="K153" s="99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AA153" s="76"/>
      <c r="AB153" s="76"/>
      <c r="AC153" s="76"/>
    </row>
    <row r="154" spans="8:29" x14ac:dyDescent="0.25">
      <c r="H154" s="12"/>
      <c r="I154" s="78">
        <f>I152-I153</f>
        <v>0</v>
      </c>
      <c r="J154" s="77"/>
      <c r="K154" s="77"/>
      <c r="N154" s="102"/>
      <c r="O154" s="102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AA154" s="76"/>
      <c r="AB154" s="76"/>
      <c r="AC154" s="76"/>
    </row>
    <row r="155" spans="8:29" x14ac:dyDescent="0.25">
      <c r="I155" s="78"/>
      <c r="J155" s="77"/>
      <c r="K155" s="77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AA155" s="76"/>
      <c r="AB155" s="76"/>
      <c r="AC155" s="76"/>
    </row>
    <row r="156" spans="8:29" x14ac:dyDescent="0.25">
      <c r="H156" s="12"/>
      <c r="I156" s="78">
        <f>J62</f>
        <v>80000</v>
      </c>
      <c r="J156" s="77" t="str">
        <f>G62</f>
        <v>van</v>
      </c>
      <c r="K156" s="77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AA156" s="76"/>
      <c r="AB156" s="76"/>
      <c r="AC156" s="76"/>
    </row>
    <row r="157" spans="8:29" x14ac:dyDescent="0.25">
      <c r="I157" s="78">
        <f>J133</f>
        <v>0</v>
      </c>
      <c r="J157" s="77" t="str">
        <f>G133</f>
        <v>IGSS LABORAL DE EMPLEADOS RENGLON 011</v>
      </c>
      <c r="K157" s="77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AA157" s="76"/>
      <c r="AB157" s="76"/>
      <c r="AC157" s="76"/>
    </row>
    <row r="158" spans="8:29" x14ac:dyDescent="0.25">
      <c r="AA158" s="76"/>
      <c r="AB158" s="76"/>
      <c r="AC158" s="76"/>
    </row>
    <row r="159" spans="8:29" x14ac:dyDescent="0.25">
      <c r="AA159" s="76"/>
      <c r="AB159" s="76"/>
      <c r="AC159" s="76"/>
    </row>
    <row r="160" spans="8:29" x14ac:dyDescent="0.25">
      <c r="AA160" s="76"/>
      <c r="AB160" s="76"/>
      <c r="AC160" s="76"/>
    </row>
  </sheetData>
  <mergeCells count="11">
    <mergeCell ref="I3:U3"/>
    <mergeCell ref="I4:U4"/>
    <mergeCell ref="I5:U5"/>
    <mergeCell ref="I6:U6"/>
    <mergeCell ref="L139:M139"/>
    <mergeCell ref="L140:M140"/>
    <mergeCell ref="N7:O7"/>
    <mergeCell ref="J9:K9"/>
    <mergeCell ref="J66:K66"/>
    <mergeCell ref="U9:W9"/>
    <mergeCell ref="U66:W66"/>
  </mergeCells>
  <pageMargins left="0.31496062992125984" right="0.31496062992125984" top="1.1417322834645669" bottom="0.74803149606299213" header="0.31496062992125984" footer="0.31496062992125984"/>
  <pageSetup scale="31" orientation="landscape" horizontalDpi="0" verticalDpi="0" r:id="rId1"/>
  <rowBreaks count="1" manualBreakCount="1">
    <brk id="64" max="26" man="1"/>
  </rowBreaks>
  <colBreaks count="1" manualBreakCount="1">
    <brk id="27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2025</vt:lpstr>
      <vt:lpstr>egresos 2025</vt:lpstr>
      <vt:lpstr>'egresos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2025-09-22T20:18:36Z</cp:lastPrinted>
  <dcterms:created xsi:type="dcterms:W3CDTF">2023-02-07T15:49:47Z</dcterms:created>
  <dcterms:modified xsi:type="dcterms:W3CDTF">2025-09-22T20:19:14Z</dcterms:modified>
</cp:coreProperties>
</file>